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СДО\Тендер\ДДУ 325 уч. 915\НВК\"/>
    </mc:Choice>
  </mc:AlternateContent>
  <xr:revisionPtr revIDLastSave="0" documentId="8_{4C093085-1FF8-45AF-9AFC-30F09BCDB879}" xr6:coauthVersionLast="45" xr6:coauthVersionMax="45" xr10:uidLastSave="{00000000-0000-0000-0000-000000000000}"/>
  <bookViews>
    <workbookView xWindow="-120" yWindow="-120" windowWidth="29040" windowHeight="15990" activeTab="2" xr2:uid="{D3A37EDA-CF12-4144-94FD-29420EAC033E}"/>
  </bookViews>
  <sheets>
    <sheet name="ФКП_НВ " sheetId="21" r:id="rId1"/>
    <sheet name="ФКП_НКхб " sheetId="19" r:id="rId2"/>
    <sheet name="ФКП_НЛК " sheetId="20" r:id="rId3"/>
    <sheet name="ВОР_НКхб" sheetId="7" r:id="rId4"/>
    <sheet name="ЛЗК НК" sheetId="13" state="hidden" r:id="rId5"/>
    <sheet name="ВОР_НЛК" sheetId="5" r:id="rId6"/>
    <sheet name="ЛЗК НЛК" sheetId="14" state="hidden" r:id="rId7"/>
    <sheet name="ВОР_НВ" sheetId="10" r:id="rId8"/>
    <sheet name="ЛЗК НВ" sheetId="16" state="hidden" r:id="rId9"/>
    <sheet name="НВ" sheetId="2" state="hidden" r:id="rId10"/>
    <sheet name="НЛК" sheetId="4" state="hidden" r:id="rId11"/>
    <sheet name="НКхб" sheetId="3" state="hidden" r:id="rId12"/>
  </sheets>
  <definedNames>
    <definedName name="_xlnm._FilterDatabase" localSheetId="7" hidden="1">ВОР_НВ!$A$13:$E$13</definedName>
    <definedName name="_xlnm._FilterDatabase" localSheetId="5" hidden="1">ВОР_НЛК!$A$13:$E$13</definedName>
    <definedName name="_xlnm._FilterDatabase" localSheetId="10" hidden="1">НЛК!$A$11:$J$11</definedName>
    <definedName name="_xlnm._FilterDatabase" localSheetId="0" hidden="1">'ФКП_НВ '!$A$9:$E$130</definedName>
    <definedName name="_xlnm._FilterDatabase" localSheetId="1" hidden="1">'ФКП_НКхб '!$A$9:$K$121</definedName>
    <definedName name="_xlnm._FilterDatabase" localSheetId="2" hidden="1">'ФКП_НЛК '!$A$10:$E$96</definedName>
    <definedName name="_xlnm.Print_Titles" localSheetId="8">'ЛЗК НВ'!$15:$18</definedName>
    <definedName name="_xlnm.Print_Titles" localSheetId="4">'ЛЗК НК'!$15:$18</definedName>
    <definedName name="_xlnm.Print_Titles" localSheetId="6">'ЛЗК НЛК'!$15:$18</definedName>
    <definedName name="_xlnm.Print_Area" localSheetId="3">ВОР_НКхб!$A$1:$E$146</definedName>
    <definedName name="_xlnm.Print_Area" localSheetId="8">'ЛЗК НВ'!$A$1:$T$73</definedName>
    <definedName name="_xlnm.Print_Area" localSheetId="4">'ЛЗК НК'!$A$1:$T$73</definedName>
    <definedName name="_xlnm.Print_Area" localSheetId="6">'ЛЗК НЛК'!$A$1:$T$62</definedName>
    <definedName name="_xlnm.Print_Area" localSheetId="9">НВ!$A$1:$J$123</definedName>
    <definedName name="_xlnm.Print_Area" localSheetId="1">'ФКП_НКхб '!$A$1:$E$124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21" l="1"/>
  <c r="J12" i="21" s="1"/>
  <c r="I13" i="21"/>
  <c r="J13" i="21" s="1"/>
  <c r="I15" i="21"/>
  <c r="J15" i="21" s="1"/>
  <c r="I18" i="21"/>
  <c r="J18" i="21" s="1"/>
  <c r="I20" i="21"/>
  <c r="H22" i="21"/>
  <c r="H23" i="21"/>
  <c r="J23" i="21" s="1"/>
  <c r="I24" i="21"/>
  <c r="J24" i="21" s="1"/>
  <c r="H25" i="21"/>
  <c r="I26" i="21"/>
  <c r="H27" i="21"/>
  <c r="J27" i="21" s="1"/>
  <c r="I29" i="21"/>
  <c r="J29" i="21" s="1"/>
  <c r="I31" i="21"/>
  <c r="J31" i="21" s="1"/>
  <c r="I33" i="21"/>
  <c r="J33" i="21" s="1"/>
  <c r="I35" i="21"/>
  <c r="J35" i="21" s="1"/>
  <c r="I37" i="21"/>
  <c r="J37" i="21" s="1"/>
  <c r="I39" i="21"/>
  <c r="J39" i="21" s="1"/>
  <c r="I41" i="21"/>
  <c r="H42" i="21"/>
  <c r="H43" i="21"/>
  <c r="H45" i="21"/>
  <c r="J45" i="21" s="1"/>
  <c r="I46" i="21"/>
  <c r="J46" i="21" s="1"/>
  <c r="H47" i="21"/>
  <c r="J47" i="21" s="1"/>
  <c r="H48" i="21"/>
  <c r="H51" i="21"/>
  <c r="J51" i="21" s="1"/>
  <c r="H52" i="21"/>
  <c r="J52" i="21" s="1"/>
  <c r="H53" i="21"/>
  <c r="I54" i="21"/>
  <c r="J54" i="21" s="1"/>
  <c r="H55" i="21"/>
  <c r="H56" i="21"/>
  <c r="J56" i="21" s="1"/>
  <c r="I58" i="21"/>
  <c r="H59" i="21"/>
  <c r="J59" i="21" s="1"/>
  <c r="H60" i="21"/>
  <c r="J60" i="21" s="1"/>
  <c r="I63" i="21"/>
  <c r="J63" i="21" s="1"/>
  <c r="H64" i="21"/>
  <c r="H65" i="21"/>
  <c r="J65" i="21" s="1"/>
  <c r="H66" i="21"/>
  <c r="H67" i="21"/>
  <c r="J67" i="21" s="1"/>
  <c r="H68" i="21"/>
  <c r="I69" i="21"/>
  <c r="J69" i="21" s="1"/>
  <c r="H70" i="21"/>
  <c r="J70" i="21" s="1"/>
  <c r="I71" i="21"/>
  <c r="J71" i="21" s="1"/>
  <c r="I72" i="21"/>
  <c r="J72" i="21" s="1"/>
  <c r="I73" i="21"/>
  <c r="J73" i="21" s="1"/>
  <c r="I75" i="21"/>
  <c r="J75" i="21" s="1"/>
  <c r="I76" i="21"/>
  <c r="J76" i="21" s="1"/>
  <c r="I77" i="21"/>
  <c r="I78" i="21"/>
  <c r="I79" i="21"/>
  <c r="J79" i="21" s="1"/>
  <c r="I80" i="21"/>
  <c r="J80" i="21" s="1"/>
  <c r="I81" i="21"/>
  <c r="J81" i="21" s="1"/>
  <c r="I82" i="21"/>
  <c r="I83" i="21"/>
  <c r="J83" i="21" s="1"/>
  <c r="I84" i="21"/>
  <c r="I85" i="21"/>
  <c r="J85" i="21" s="1"/>
  <c r="H86" i="21"/>
  <c r="J86" i="21" s="1"/>
  <c r="I87" i="21"/>
  <c r="J87" i="21" s="1"/>
  <c r="I88" i="21"/>
  <c r="J88" i="21" s="1"/>
  <c r="I90" i="21"/>
  <c r="I93" i="21"/>
  <c r="I96" i="21"/>
  <c r="J96" i="21" s="1"/>
  <c r="H97" i="21"/>
  <c r="J97" i="21" s="1"/>
  <c r="H98" i="21"/>
  <c r="H99" i="21"/>
  <c r="J99" i="21" s="1"/>
  <c r="H100" i="21"/>
  <c r="I101" i="21"/>
  <c r="J101" i="21" s="1"/>
  <c r="H102" i="21"/>
  <c r="J102" i="21"/>
  <c r="I103" i="21"/>
  <c r="J103" i="21" s="1"/>
  <c r="H104" i="21"/>
  <c r="I105" i="21"/>
  <c r="J105" i="21" s="1"/>
  <c r="H106" i="21"/>
  <c r="H107" i="21"/>
  <c r="J107" i="21" s="1"/>
  <c r="I108" i="21"/>
  <c r="J108" i="21" s="1"/>
  <c r="H109" i="21"/>
  <c r="H110" i="21"/>
  <c r="I111" i="21"/>
  <c r="J111" i="21" s="1"/>
  <c r="H112" i="21"/>
  <c r="H113" i="21"/>
  <c r="I113" i="21"/>
  <c r="I114" i="21"/>
  <c r="H115" i="21"/>
  <c r="J115" i="21" s="1"/>
  <c r="H116" i="21"/>
  <c r="J116" i="21" s="1"/>
  <c r="I117" i="21"/>
  <c r="J117" i="21" s="1"/>
  <c r="H118" i="21"/>
  <c r="I119" i="21"/>
  <c r="J119" i="21" s="1"/>
  <c r="H120" i="21"/>
  <c r="H121" i="21"/>
  <c r="J121" i="21" s="1"/>
  <c r="H122" i="21"/>
  <c r="J122" i="21" s="1"/>
  <c r="H123" i="21"/>
  <c r="J123" i="21" s="1"/>
  <c r="H124" i="21"/>
  <c r="J124" i="21" s="1"/>
  <c r="H125" i="21"/>
  <c r="J125" i="21" s="1"/>
  <c r="I11" i="21"/>
  <c r="J11" i="21" s="1"/>
  <c r="I11" i="19"/>
  <c r="E126" i="21"/>
  <c r="E127" i="21" s="1"/>
  <c r="E95" i="21"/>
  <c r="E94" i="21"/>
  <c r="H94" i="21" s="1"/>
  <c r="E92" i="21"/>
  <c r="E91" i="21"/>
  <c r="H91" i="21" s="1"/>
  <c r="E89" i="21"/>
  <c r="H89" i="21" s="1"/>
  <c r="E62" i="21"/>
  <c r="H62" i="21" s="1"/>
  <c r="J62" i="21" s="1"/>
  <c r="E61" i="21"/>
  <c r="H61" i="21" s="1"/>
  <c r="E59" i="21"/>
  <c r="E57" i="21"/>
  <c r="H57" i="21" s="1"/>
  <c r="E49" i="21"/>
  <c r="H49" i="21" s="1"/>
  <c r="E44" i="21"/>
  <c r="H44" i="21" s="1"/>
  <c r="E40" i="21"/>
  <c r="H40" i="21" s="1"/>
  <c r="E38" i="21"/>
  <c r="E36" i="21"/>
  <c r="E34" i="21"/>
  <c r="H34" i="21" s="1"/>
  <c r="E32" i="21"/>
  <c r="H32" i="21" s="1"/>
  <c r="E30" i="21"/>
  <c r="H30" i="21" s="1"/>
  <c r="E21" i="21"/>
  <c r="H21" i="21" s="1"/>
  <c r="E19" i="21"/>
  <c r="H19" i="21" s="1"/>
  <c r="E16" i="21"/>
  <c r="I16" i="21" s="1"/>
  <c r="E14" i="21"/>
  <c r="H14" i="21" s="1"/>
  <c r="I13" i="20"/>
  <c r="J13" i="20" s="1"/>
  <c r="I14" i="20"/>
  <c r="I16" i="20"/>
  <c r="I19" i="20"/>
  <c r="I21" i="20"/>
  <c r="J21" i="20" s="1"/>
  <c r="I23" i="20"/>
  <c r="H24" i="20"/>
  <c r="J24" i="20" s="1"/>
  <c r="I25" i="20"/>
  <c r="H27" i="20"/>
  <c r="H28" i="20"/>
  <c r="J28" i="20" s="1"/>
  <c r="I29" i="20"/>
  <c r="J29" i="20" s="1"/>
  <c r="H30" i="20"/>
  <c r="H31" i="20"/>
  <c r="H32" i="20"/>
  <c r="I33" i="20"/>
  <c r="I35" i="20"/>
  <c r="I36" i="20"/>
  <c r="J36" i="20" s="1"/>
  <c r="H37" i="20"/>
  <c r="H38" i="20"/>
  <c r="H39" i="20"/>
  <c r="H40" i="20"/>
  <c r="H41" i="20"/>
  <c r="J41" i="20" s="1"/>
  <c r="H42" i="20"/>
  <c r="H43" i="20"/>
  <c r="H44" i="20"/>
  <c r="J44" i="20" s="1"/>
  <c r="H45" i="20"/>
  <c r="J45" i="20" s="1"/>
  <c r="H46" i="20"/>
  <c r="I47" i="20"/>
  <c r="H48" i="20"/>
  <c r="H49" i="20"/>
  <c r="J49" i="20" s="1"/>
  <c r="H50" i="20"/>
  <c r="H51" i="20"/>
  <c r="H52" i="20"/>
  <c r="J52" i="20" s="1"/>
  <c r="H53" i="20"/>
  <c r="H54" i="20"/>
  <c r="I55" i="20"/>
  <c r="I56" i="20"/>
  <c r="H57" i="20"/>
  <c r="J57" i="20" s="1"/>
  <c r="H58" i="20"/>
  <c r="I64" i="20"/>
  <c r="J64" i="20" s="1"/>
  <c r="I65" i="20"/>
  <c r="J65" i="20" s="1"/>
  <c r="I66" i="20"/>
  <c r="I67" i="20"/>
  <c r="I68" i="20"/>
  <c r="J68" i="20" s="1"/>
  <c r="I69" i="20"/>
  <c r="I70" i="20"/>
  <c r="I71" i="20"/>
  <c r="I72" i="20"/>
  <c r="I73" i="20"/>
  <c r="J73" i="20" s="1"/>
  <c r="I74" i="20"/>
  <c r="I75" i="20"/>
  <c r="H76" i="20"/>
  <c r="J76" i="20" s="1"/>
  <c r="I77" i="20"/>
  <c r="J77" i="20" s="1"/>
  <c r="I78" i="20"/>
  <c r="I80" i="20"/>
  <c r="I83" i="20"/>
  <c r="I86" i="20"/>
  <c r="H87" i="20"/>
  <c r="H88" i="20"/>
  <c r="H89" i="20"/>
  <c r="J89" i="20" s="1"/>
  <c r="I90" i="20"/>
  <c r="I91" i="20"/>
  <c r="I92" i="20"/>
  <c r="I93" i="20"/>
  <c r="I12" i="20"/>
  <c r="J12" i="20" s="1"/>
  <c r="E85" i="20"/>
  <c r="I85" i="20" s="1"/>
  <c r="E84" i="20"/>
  <c r="H84" i="20" s="1"/>
  <c r="J84" i="20" s="1"/>
  <c r="E82" i="20"/>
  <c r="E81" i="20"/>
  <c r="E79" i="20"/>
  <c r="H79" i="20" s="1"/>
  <c r="E60" i="20"/>
  <c r="E62" i="20" s="1"/>
  <c r="I62" i="20" s="1"/>
  <c r="E59" i="20"/>
  <c r="E61" i="20" s="1"/>
  <c r="E34" i="20"/>
  <c r="H34" i="20" s="1"/>
  <c r="E26" i="20"/>
  <c r="H26" i="20" s="1"/>
  <c r="E22" i="20"/>
  <c r="H22" i="20" s="1"/>
  <c r="E20" i="20"/>
  <c r="H20" i="20" s="1"/>
  <c r="J20" i="20" s="1"/>
  <c r="E17" i="20"/>
  <c r="E15" i="20"/>
  <c r="H15" i="20" s="1"/>
  <c r="J15" i="20" s="1"/>
  <c r="I12" i="19"/>
  <c r="I13" i="19"/>
  <c r="I15" i="19"/>
  <c r="J15" i="19" s="1"/>
  <c r="H16" i="19"/>
  <c r="I18" i="19"/>
  <c r="J18" i="19" s="1"/>
  <c r="I21" i="19"/>
  <c r="J21" i="19" s="1"/>
  <c r="I23" i="19"/>
  <c r="J23" i="19" s="1"/>
  <c r="H24" i="19"/>
  <c r="H25" i="19"/>
  <c r="H26" i="19"/>
  <c r="J26" i="19" s="1"/>
  <c r="I27" i="19"/>
  <c r="J27" i="19" s="1"/>
  <c r="I29" i="19"/>
  <c r="I31" i="19"/>
  <c r="J31" i="19" s="1"/>
  <c r="I32" i="19"/>
  <c r="I34" i="19"/>
  <c r="J34" i="19" s="1"/>
  <c r="H35" i="19"/>
  <c r="J35" i="19" s="1"/>
  <c r="H36" i="19"/>
  <c r="J36" i="19" s="1"/>
  <c r="H37" i="19"/>
  <c r="J37" i="19" s="1"/>
  <c r="H38" i="19"/>
  <c r="J38" i="19" s="1"/>
  <c r="H39" i="19"/>
  <c r="H40" i="19"/>
  <c r="J40" i="19" s="1"/>
  <c r="H41" i="19"/>
  <c r="J41" i="19" s="1"/>
  <c r="H42" i="19"/>
  <c r="H43" i="19"/>
  <c r="J43" i="19" s="1"/>
  <c r="I44" i="19"/>
  <c r="H45" i="19"/>
  <c r="J45" i="19" s="1"/>
  <c r="H46" i="19"/>
  <c r="J46" i="19" s="1"/>
  <c r="H47" i="19"/>
  <c r="H48" i="19"/>
  <c r="J48" i="19" s="1"/>
  <c r="H49" i="19"/>
  <c r="H50" i="19"/>
  <c r="H51" i="19"/>
  <c r="J51" i="19" s="1"/>
  <c r="H52" i="19"/>
  <c r="J52" i="19" s="1"/>
  <c r="H53" i="19"/>
  <c r="J53" i="19" s="1"/>
  <c r="H54" i="19"/>
  <c r="J54" i="19" s="1"/>
  <c r="I55" i="19"/>
  <c r="H56" i="19"/>
  <c r="J56" i="19" s="1"/>
  <c r="H57" i="19"/>
  <c r="H58" i="19"/>
  <c r="I59" i="19"/>
  <c r="J59" i="19" s="1"/>
  <c r="H60" i="19"/>
  <c r="J60" i="19" s="1"/>
  <c r="H61" i="19"/>
  <c r="J61" i="19" s="1"/>
  <c r="I64" i="19"/>
  <c r="J64" i="19" s="1"/>
  <c r="I67" i="19"/>
  <c r="I68" i="19"/>
  <c r="J68" i="19" s="1"/>
  <c r="H69" i="19"/>
  <c r="J69" i="19" s="1"/>
  <c r="I70" i="19"/>
  <c r="H71" i="19"/>
  <c r="I72" i="19"/>
  <c r="J72" i="19" s="1"/>
  <c r="H73" i="19"/>
  <c r="I74" i="19"/>
  <c r="H75" i="19"/>
  <c r="J75" i="19" s="1"/>
  <c r="I76" i="19"/>
  <c r="H77" i="19"/>
  <c r="J77" i="19" s="1"/>
  <c r="H78" i="19"/>
  <c r="J78" i="19" s="1"/>
  <c r="I79" i="19"/>
  <c r="H80" i="19"/>
  <c r="J80" i="19" s="1"/>
  <c r="I81" i="19"/>
  <c r="I82" i="19"/>
  <c r="H83" i="19"/>
  <c r="J83" i="19" s="1"/>
  <c r="I84" i="19"/>
  <c r="H85" i="19"/>
  <c r="J85" i="19" s="1"/>
  <c r="I86" i="19"/>
  <c r="J86" i="19" s="1"/>
  <c r="H87" i="19"/>
  <c r="I88" i="19"/>
  <c r="J88" i="19" s="1"/>
  <c r="H89" i="19"/>
  <c r="J89" i="19" s="1"/>
  <c r="H90" i="19"/>
  <c r="I92" i="19"/>
  <c r="I93" i="19"/>
  <c r="J93" i="19" s="1"/>
  <c r="I94" i="19"/>
  <c r="J94" i="19" s="1"/>
  <c r="I95" i="19"/>
  <c r="I96" i="19"/>
  <c r="J96" i="19" s="1"/>
  <c r="I97" i="19"/>
  <c r="I98" i="19"/>
  <c r="J98" i="19" s="1"/>
  <c r="I99" i="19"/>
  <c r="I100" i="19"/>
  <c r="J100" i="19" s="1"/>
  <c r="I101" i="19"/>
  <c r="J101" i="19" s="1"/>
  <c r="I102" i="19"/>
  <c r="J102" i="19" s="1"/>
  <c r="H103" i="19"/>
  <c r="I104" i="19"/>
  <c r="J104" i="19" s="1"/>
  <c r="I105" i="19"/>
  <c r="J105" i="19" s="1"/>
  <c r="I107" i="19"/>
  <c r="I109" i="19"/>
  <c r="J109" i="19" s="1"/>
  <c r="I110" i="19"/>
  <c r="J110" i="19" s="1"/>
  <c r="I112" i="19"/>
  <c r="J112" i="19" s="1"/>
  <c r="H113" i="19"/>
  <c r="H114" i="19"/>
  <c r="J114" i="19" s="1"/>
  <c r="H115" i="19"/>
  <c r="J115" i="19" s="1"/>
  <c r="I116" i="19"/>
  <c r="J116" i="19" s="1"/>
  <c r="I117" i="19"/>
  <c r="J117" i="19" s="1"/>
  <c r="H118" i="19"/>
  <c r="J118" i="19" s="1"/>
  <c r="I119" i="19"/>
  <c r="I120" i="19"/>
  <c r="J120" i="19" s="1"/>
  <c r="I121" i="19"/>
  <c r="J121" i="19" s="1"/>
  <c r="E111" i="19"/>
  <c r="H111" i="19" s="1"/>
  <c r="E108" i="19"/>
  <c r="H108" i="19" s="1"/>
  <c r="J108" i="19" s="1"/>
  <c r="E106" i="19"/>
  <c r="E63" i="19"/>
  <c r="E65" i="19" s="1"/>
  <c r="E62" i="19"/>
  <c r="I62" i="19" s="1"/>
  <c r="E33" i="19"/>
  <c r="H33" i="19" s="1"/>
  <c r="E30" i="19"/>
  <c r="H30" i="19" s="1"/>
  <c r="E28" i="19"/>
  <c r="E22" i="19"/>
  <c r="H22" i="19" s="1"/>
  <c r="E19" i="19"/>
  <c r="E14" i="19"/>
  <c r="H14" i="19" s="1"/>
  <c r="J113" i="21" l="1"/>
  <c r="J112" i="21"/>
  <c r="J104" i="21"/>
  <c r="J64" i="21"/>
  <c r="J50" i="21"/>
  <c r="J16" i="21"/>
  <c r="J120" i="21"/>
  <c r="J118" i="21"/>
  <c r="I95" i="21"/>
  <c r="J95" i="21" s="1"/>
  <c r="H38" i="21"/>
  <c r="J38" i="21" s="1"/>
  <c r="J32" i="21"/>
  <c r="J55" i="21"/>
  <c r="J48" i="21"/>
  <c r="J43" i="21"/>
  <c r="H36" i="21"/>
  <c r="J36" i="21" s="1"/>
  <c r="I127" i="21"/>
  <c r="J127" i="21" s="1"/>
  <c r="J114" i="21"/>
  <c r="J109" i="21"/>
  <c r="J100" i="21"/>
  <c r="J98" i="21"/>
  <c r="J93" i="21"/>
  <c r="J91" i="21"/>
  <c r="J89" i="21"/>
  <c r="J84" i="21"/>
  <c r="J82" i="21"/>
  <c r="J77" i="21"/>
  <c r="J68" i="21"/>
  <c r="J66" i="21"/>
  <c r="J61" i="21"/>
  <c r="J58" i="21"/>
  <c r="J53" i="21"/>
  <c r="J44" i="21"/>
  <c r="J41" i="21"/>
  <c r="J30" i="21"/>
  <c r="J25" i="21"/>
  <c r="J21" i="21"/>
  <c r="J14" i="21"/>
  <c r="J34" i="21"/>
  <c r="J110" i="21"/>
  <c r="J94" i="21"/>
  <c r="I92" i="21"/>
  <c r="J92" i="21" s="1"/>
  <c r="J78" i="21"/>
  <c r="J57" i="21"/>
  <c r="J49" i="21"/>
  <c r="J42" i="21"/>
  <c r="J40" i="21"/>
  <c r="J26" i="21"/>
  <c r="J19" i="21"/>
  <c r="I126" i="21"/>
  <c r="J126" i="21" s="1"/>
  <c r="J106" i="21"/>
  <c r="J90" i="21"/>
  <c r="J22" i="21"/>
  <c r="J20" i="21"/>
  <c r="I82" i="20"/>
  <c r="J82" i="20" s="1"/>
  <c r="J85" i="20"/>
  <c r="H81" i="20"/>
  <c r="J81" i="20" s="1"/>
  <c r="J26" i="20"/>
  <c r="J22" i="20"/>
  <c r="J88" i="20"/>
  <c r="J69" i="20"/>
  <c r="I61" i="20"/>
  <c r="J61" i="20" s="1"/>
  <c r="I59" i="20"/>
  <c r="J59" i="20" s="1"/>
  <c r="J56" i="20"/>
  <c r="J37" i="20"/>
  <c r="J16" i="20"/>
  <c r="J14" i="20"/>
  <c r="J93" i="20"/>
  <c r="J80" i="20"/>
  <c r="J48" i="20"/>
  <c r="J27" i="20"/>
  <c r="J25" i="20"/>
  <c r="J23" i="20"/>
  <c r="I17" i="20"/>
  <c r="J17" i="20" s="1"/>
  <c r="J92" i="20"/>
  <c r="J72" i="20"/>
  <c r="I60" i="20"/>
  <c r="J60" i="20" s="1"/>
  <c r="J53" i="20"/>
  <c r="J40" i="20"/>
  <c r="J32" i="20"/>
  <c r="J30" i="20"/>
  <c r="J19" i="20"/>
  <c r="J91" i="20"/>
  <c r="J86" i="20"/>
  <c r="J83" i="20"/>
  <c r="J78" i="20"/>
  <c r="J75" i="20"/>
  <c r="J70" i="20"/>
  <c r="J67" i="20"/>
  <c r="J62" i="20"/>
  <c r="J54" i="20"/>
  <c r="J51" i="20"/>
  <c r="J46" i="20"/>
  <c r="J43" i="20"/>
  <c r="J38" i="20"/>
  <c r="J35" i="20"/>
  <c r="J33" i="20"/>
  <c r="J31" i="20"/>
  <c r="J90" i="20"/>
  <c r="J87" i="20"/>
  <c r="J79" i="20"/>
  <c r="J74" i="20"/>
  <c r="J71" i="20"/>
  <c r="J66" i="20"/>
  <c r="J58" i="20"/>
  <c r="J55" i="20"/>
  <c r="J50" i="20"/>
  <c r="J47" i="20"/>
  <c r="J42" i="20"/>
  <c r="J39" i="20"/>
  <c r="J34" i="20"/>
  <c r="J99" i="19"/>
  <c r="J84" i="19"/>
  <c r="J76" i="19"/>
  <c r="J70" i="19"/>
  <c r="J67" i="19"/>
  <c r="J44" i="19"/>
  <c r="J32" i="19"/>
  <c r="J13" i="19"/>
  <c r="J11" i="19"/>
  <c r="J92" i="19"/>
  <c r="I19" i="19"/>
  <c r="J19" i="19" s="1"/>
  <c r="J12" i="19"/>
  <c r="I65" i="19"/>
  <c r="J65" i="19" s="1"/>
  <c r="J62" i="19"/>
  <c r="J33" i="19"/>
  <c r="H28" i="19"/>
  <c r="J28" i="19" s="1"/>
  <c r="J14" i="19"/>
  <c r="J113" i="19"/>
  <c r="J111" i="19"/>
  <c r="H106" i="19"/>
  <c r="J106" i="19" s="1"/>
  <c r="J97" i="19"/>
  <c r="J95" i="19"/>
  <c r="J90" i="19"/>
  <c r="J81" i="19"/>
  <c r="J79" i="19"/>
  <c r="J74" i="19"/>
  <c r="I63" i="19"/>
  <c r="J58" i="19"/>
  <c r="J49" i="19"/>
  <c r="J47" i="19"/>
  <c r="J42" i="19"/>
  <c r="J29" i="19"/>
  <c r="J24" i="19"/>
  <c r="J22" i="19"/>
  <c r="J17" i="19"/>
  <c r="J107" i="19"/>
  <c r="J30" i="19"/>
  <c r="J119" i="19"/>
  <c r="J103" i="19"/>
  <c r="J87" i="19"/>
  <c r="J82" i="19"/>
  <c r="J73" i="19"/>
  <c r="J71" i="19"/>
  <c r="J57" i="19"/>
  <c r="J55" i="19"/>
  <c r="J50" i="19"/>
  <c r="J39" i="19"/>
  <c r="J25" i="19"/>
  <c r="J16" i="19"/>
  <c r="E95" i="10"/>
  <c r="E84" i="5"/>
  <c r="E46" i="7"/>
  <c r="E40" i="7"/>
  <c r="J94" i="20" l="1"/>
  <c r="J95" i="20" s="1"/>
  <c r="J128" i="21"/>
  <c r="J129" i="21" s="1"/>
  <c r="J63" i="19"/>
  <c r="J122" i="19" s="1"/>
  <c r="J123" i="19" s="1"/>
  <c r="E127" i="7" l="1"/>
  <c r="E130" i="10" l="1"/>
  <c r="E131" i="10" s="1"/>
  <c r="E42" i="10" l="1"/>
  <c r="E66" i="10"/>
  <c r="E65" i="10"/>
  <c r="E63" i="10"/>
  <c r="E61" i="10"/>
  <c r="E53" i="10"/>
  <c r="E48" i="10"/>
  <c r="E44" i="10"/>
  <c r="E38" i="10"/>
  <c r="E40" i="10"/>
  <c r="E36" i="10"/>
  <c r="E34" i="10"/>
  <c r="E25" i="10" l="1"/>
  <c r="E99" i="10"/>
  <c r="E98" i="10"/>
  <c r="E96" i="10"/>
  <c r="E93" i="10"/>
  <c r="E23" i="10"/>
  <c r="E20" i="10"/>
  <c r="E18" i="10"/>
  <c r="G17" i="10"/>
  <c r="F17" i="10"/>
  <c r="G16" i="10"/>
  <c r="F16" i="10"/>
  <c r="G15" i="10"/>
  <c r="H15" i="10" s="1"/>
  <c r="E84" i="7" l="1"/>
  <c r="E82" i="7"/>
  <c r="E81" i="7"/>
  <c r="E63" i="5"/>
  <c r="E65" i="5" s="1"/>
  <c r="E62" i="5"/>
  <c r="E64" i="5" s="1"/>
  <c r="E88" i="5"/>
  <c r="E87" i="5"/>
  <c r="E82" i="5"/>
  <c r="E85" i="5"/>
  <c r="E37" i="5"/>
  <c r="E29" i="5"/>
  <c r="E25" i="5"/>
  <c r="E23" i="5"/>
  <c r="E20" i="5"/>
  <c r="E18" i="5"/>
  <c r="E125" i="7" l="1"/>
  <c r="E130" i="7"/>
  <c r="E49" i="7"/>
  <c r="E34" i="7" l="1"/>
  <c r="E26" i="7"/>
  <c r="E31" i="7"/>
  <c r="F13" i="2" l="1"/>
  <c r="F20" i="2"/>
  <c r="F21" i="2"/>
  <c r="F24" i="2"/>
  <c r="F26" i="2"/>
  <c r="F56" i="2"/>
  <c r="F58" i="2"/>
  <c r="F63" i="2"/>
  <c r="F65" i="2" s="1"/>
  <c r="F67" i="2"/>
  <c r="F68" i="2"/>
  <c r="F69" i="2"/>
  <c r="F78" i="2"/>
  <c r="F79" i="2" s="1"/>
  <c r="F81" i="2"/>
  <c r="F82" i="2"/>
  <c r="F83" i="2" s="1"/>
  <c r="F86" i="2"/>
  <c r="F87" i="2" s="1"/>
  <c r="F88" i="2"/>
  <c r="F89" i="2"/>
  <c r="F90" i="2"/>
  <c r="F93" i="2" s="1"/>
  <c r="F98" i="2"/>
  <c r="F100" i="2"/>
  <c r="F103" i="2"/>
  <c r="F105" i="2"/>
  <c r="F106" i="2"/>
  <c r="F107" i="2"/>
  <c r="F108" i="2"/>
  <c r="E15" i="2"/>
  <c r="E16" i="2"/>
  <c r="E19" i="2"/>
  <c r="E20" i="2"/>
  <c r="E24" i="2"/>
  <c r="E32" i="2"/>
  <c r="E56" i="2"/>
  <c r="E65" i="2"/>
  <c r="E67" i="2"/>
  <c r="E69" i="2"/>
  <c r="F84" i="2" l="1"/>
  <c r="F85" i="2" s="1"/>
  <c r="F61" i="4"/>
  <c r="G15" i="5" l="1"/>
  <c r="F16" i="5"/>
  <c r="F17" i="5"/>
  <c r="G17" i="5"/>
  <c r="H15" i="5" l="1"/>
  <c r="G16" i="5"/>
  <c r="L63" i="2" l="1"/>
  <c r="M63" i="2" s="1"/>
  <c r="M64" i="2" s="1"/>
  <c r="J17" i="2"/>
  <c r="J18" i="2"/>
  <c r="I48" i="2"/>
  <c r="I49" i="2"/>
  <c r="I50" i="2"/>
  <c r="I51" i="2"/>
  <c r="I52" i="2"/>
  <c r="L13" i="2"/>
  <c r="I83" i="3" l="1"/>
  <c r="I83" i="4" l="1"/>
  <c r="I90" i="3" l="1"/>
  <c r="F90" i="3"/>
  <c r="F78" i="3"/>
  <c r="I78" i="3"/>
  <c r="I93" i="3"/>
  <c r="I92" i="3"/>
  <c r="I88" i="3"/>
  <c r="I86" i="3"/>
  <c r="I81" i="3"/>
  <c r="I80" i="3"/>
  <c r="I74" i="3"/>
  <c r="I76" i="3"/>
  <c r="J69" i="3"/>
  <c r="I69" i="3"/>
  <c r="J20" i="3"/>
  <c r="I20" i="3"/>
  <c r="J93" i="3"/>
  <c r="I94" i="3" l="1"/>
  <c r="F93" i="3"/>
  <c r="F91" i="3"/>
  <c r="F92" i="3" s="1"/>
  <c r="F88" i="3"/>
  <c r="J92" i="3"/>
  <c r="J91" i="3"/>
  <c r="J89" i="3"/>
  <c r="J87" i="3"/>
  <c r="F87" i="3"/>
  <c r="F86" i="3"/>
  <c r="J85" i="3"/>
  <c r="J77" i="3"/>
  <c r="F79" i="3"/>
  <c r="F80" i="3" s="1"/>
  <c r="J79" i="3"/>
  <c r="F74" i="3"/>
  <c r="F81" i="3"/>
  <c r="F75" i="3"/>
  <c r="F76" i="3" s="1"/>
  <c r="J80" i="3"/>
  <c r="J94" i="3" s="1"/>
  <c r="J75" i="3"/>
  <c r="J73" i="3"/>
  <c r="J82" i="3"/>
  <c r="J95" i="3" l="1"/>
  <c r="M16" i="4"/>
  <c r="L16" i="4"/>
  <c r="M15" i="4"/>
  <c r="L15" i="4"/>
  <c r="J75" i="4"/>
  <c r="F72" i="4"/>
  <c r="F39" i="4"/>
  <c r="F19" i="4"/>
  <c r="F18" i="4"/>
  <c r="F25" i="4"/>
  <c r="F17" i="4"/>
  <c r="F13" i="4"/>
  <c r="F15" i="4"/>
  <c r="F14" i="4"/>
  <c r="N14" i="4"/>
  <c r="N13" i="4"/>
  <c r="M13" i="4"/>
  <c r="F62" i="4"/>
  <c r="F36" i="4"/>
  <c r="F31" i="4"/>
  <c r="F74" i="4" l="1"/>
  <c r="F70" i="4"/>
  <c r="F66" i="4"/>
  <c r="F75" i="4" s="1"/>
  <c r="F78" i="4" l="1"/>
  <c r="J20" i="4"/>
  <c r="J18" i="3"/>
  <c r="F67" i="3"/>
  <c r="F16" i="3"/>
  <c r="F24" i="3"/>
  <c r="F39" i="3"/>
  <c r="F49" i="3"/>
  <c r="F44" i="3"/>
  <c r="F46" i="3"/>
  <c r="F68" i="3"/>
  <c r="F100" i="3"/>
  <c r="F104" i="3"/>
  <c r="F98" i="3"/>
  <c r="F101" i="3" s="1"/>
  <c r="F107" i="3"/>
  <c r="F14" i="3"/>
  <c r="F17" i="3" l="1"/>
  <c r="F18" i="3" s="1"/>
  <c r="F102" i="3"/>
  <c r="F19" i="3" l="1"/>
  <c r="J54" i="2"/>
  <c r="I34" i="2"/>
  <c r="I47" i="2"/>
  <c r="J46" i="2"/>
  <c r="J16" i="2"/>
  <c r="J15" i="2"/>
  <c r="P13" i="2"/>
  <c r="I54" i="4" l="1"/>
  <c r="E70" i="4" l="1"/>
  <c r="I36" i="4"/>
  <c r="I35" i="4"/>
  <c r="J34" i="4"/>
  <c r="E74" i="4"/>
  <c r="I74" i="4" s="1"/>
  <c r="J68" i="4"/>
  <c r="J57" i="4"/>
  <c r="J39" i="4"/>
  <c r="E19" i="4"/>
  <c r="I60" i="4"/>
  <c r="I29" i="4"/>
  <c r="J28" i="4"/>
  <c r="E27" i="4"/>
  <c r="I27" i="4" s="1"/>
  <c r="I62" i="3"/>
  <c r="I63" i="3"/>
  <c r="I61" i="3"/>
  <c r="J60" i="3"/>
  <c r="I27" i="3"/>
  <c r="J118" i="2" l="1"/>
  <c r="J65" i="2"/>
  <c r="I43" i="2"/>
  <c r="I42" i="2"/>
  <c r="J41" i="2"/>
  <c r="I40" i="2"/>
  <c r="I27" i="2"/>
  <c r="I26" i="2"/>
  <c r="I25" i="2"/>
  <c r="J53" i="2" l="1"/>
  <c r="J116" i="2"/>
  <c r="I115" i="2"/>
  <c r="J114" i="2"/>
  <c r="I45" i="2"/>
  <c r="J44" i="2"/>
  <c r="J26" i="4" l="1"/>
  <c r="J14" i="4"/>
  <c r="J82" i="4"/>
  <c r="J81" i="4"/>
  <c r="J80" i="4"/>
  <c r="J79" i="4"/>
  <c r="I78" i="4"/>
  <c r="I77" i="4"/>
  <c r="J76" i="4"/>
  <c r="J73" i="4"/>
  <c r="J72" i="4"/>
  <c r="J71" i="4"/>
  <c r="I70" i="4"/>
  <c r="J69" i="4"/>
  <c r="J67" i="4"/>
  <c r="J66" i="4"/>
  <c r="J62" i="4"/>
  <c r="J61" i="4"/>
  <c r="I59" i="4"/>
  <c r="J58" i="4"/>
  <c r="I56" i="4"/>
  <c r="I55" i="4"/>
  <c r="I53" i="4"/>
  <c r="I52" i="4"/>
  <c r="I51" i="4"/>
  <c r="I50" i="4"/>
  <c r="I49" i="4"/>
  <c r="J48" i="4"/>
  <c r="I47" i="4"/>
  <c r="I46" i="4"/>
  <c r="I45" i="4"/>
  <c r="I44" i="4"/>
  <c r="I43" i="4"/>
  <c r="I42" i="4"/>
  <c r="I41" i="4"/>
  <c r="J40" i="4"/>
  <c r="I38" i="4"/>
  <c r="J37" i="4"/>
  <c r="I33" i="4"/>
  <c r="I32" i="4"/>
  <c r="I31" i="4"/>
  <c r="J30" i="4"/>
  <c r="E25" i="4"/>
  <c r="I25" i="4" s="1"/>
  <c r="J24" i="4"/>
  <c r="J19" i="4"/>
  <c r="J18" i="4"/>
  <c r="I17" i="4"/>
  <c r="J16" i="4"/>
  <c r="J15" i="4"/>
  <c r="J13" i="4"/>
  <c r="J113" i="3"/>
  <c r="J112" i="3"/>
  <c r="J111" i="3"/>
  <c r="I110" i="3"/>
  <c r="J109" i="3"/>
  <c r="J108" i="3"/>
  <c r="I107" i="3"/>
  <c r="I106" i="3"/>
  <c r="J105" i="3"/>
  <c r="J103" i="3"/>
  <c r="J102" i="3"/>
  <c r="J101" i="3"/>
  <c r="J98" i="3"/>
  <c r="J99" i="3"/>
  <c r="J97" i="3"/>
  <c r="I100" i="3"/>
  <c r="J17" i="3"/>
  <c r="J68" i="3"/>
  <c r="J67" i="3"/>
  <c r="I65" i="3"/>
  <c r="I59" i="3"/>
  <c r="I58" i="3"/>
  <c r="I57" i="3"/>
  <c r="I56" i="3"/>
  <c r="I55" i="3"/>
  <c r="I54" i="3"/>
  <c r="I53" i="3"/>
  <c r="I20" i="4" l="1"/>
  <c r="J21" i="4" s="1"/>
  <c r="J114" i="3"/>
  <c r="J83" i="4"/>
  <c r="I114" i="3"/>
  <c r="J115" i="3" s="1"/>
  <c r="J63" i="4"/>
  <c r="I63" i="4"/>
  <c r="I52" i="3"/>
  <c r="E38" i="3"/>
  <c r="J38" i="3" s="1"/>
  <c r="J37" i="3"/>
  <c r="I26" i="3"/>
  <c r="E24" i="3"/>
  <c r="I24" i="3" s="1"/>
  <c r="J15" i="3"/>
  <c r="E16" i="3"/>
  <c r="I16" i="3" s="1"/>
  <c r="I66" i="3"/>
  <c r="J64" i="3"/>
  <c r="J51" i="3"/>
  <c r="I50" i="3"/>
  <c r="I49" i="3"/>
  <c r="I48" i="3"/>
  <c r="I47" i="3"/>
  <c r="I46" i="3"/>
  <c r="I45" i="3"/>
  <c r="I44" i="3"/>
  <c r="J43" i="3"/>
  <c r="I36" i="3"/>
  <c r="J35" i="3"/>
  <c r="E34" i="3"/>
  <c r="I34" i="3" s="1"/>
  <c r="J33" i="3"/>
  <c r="E32" i="3"/>
  <c r="I32" i="3" s="1"/>
  <c r="J31" i="3"/>
  <c r="I30" i="3"/>
  <c r="J29" i="3"/>
  <c r="I28" i="3"/>
  <c r="J25" i="3"/>
  <c r="J19" i="3"/>
  <c r="J14" i="3"/>
  <c r="J13" i="3"/>
  <c r="J70" i="2"/>
  <c r="I67" i="2"/>
  <c r="J57" i="2"/>
  <c r="I56" i="2"/>
  <c r="J55" i="2"/>
  <c r="I39" i="2"/>
  <c r="J38" i="2"/>
  <c r="I37" i="2"/>
  <c r="I36" i="2"/>
  <c r="J35" i="2"/>
  <c r="I33" i="2"/>
  <c r="J32" i="2"/>
  <c r="I31" i="2"/>
  <c r="J30" i="2"/>
  <c r="I29" i="2"/>
  <c r="J28" i="2"/>
  <c r="J23" i="2"/>
  <c r="I20" i="2"/>
  <c r="J19" i="2"/>
  <c r="J14" i="2"/>
  <c r="J117" i="2"/>
  <c r="I76" i="2"/>
  <c r="I73" i="2"/>
  <c r="I74" i="2"/>
  <c r="I71" i="2"/>
  <c r="J68" i="2"/>
  <c r="J66" i="2"/>
  <c r="J64" i="2"/>
  <c r="J63" i="2"/>
  <c r="J59" i="2"/>
  <c r="J58" i="2"/>
  <c r="J13" i="2"/>
  <c r="I69" i="2" l="1"/>
  <c r="I119" i="2" s="1"/>
  <c r="K68" i="2"/>
  <c r="I60" i="2"/>
  <c r="J84" i="4"/>
  <c r="J64" i="4"/>
  <c r="E39" i="3"/>
  <c r="I39" i="3" s="1"/>
  <c r="J21" i="3"/>
  <c r="J23" i="3"/>
  <c r="J60" i="2"/>
  <c r="J72" i="2"/>
  <c r="J75" i="2"/>
  <c r="I121" i="2" l="1"/>
  <c r="J119" i="2"/>
  <c r="J120" i="2" s="1"/>
  <c r="J70" i="3"/>
  <c r="J116" i="3" s="1"/>
  <c r="J85" i="4"/>
  <c r="J86" i="4" s="1"/>
  <c r="J61" i="2"/>
  <c r="J122" i="2" l="1"/>
  <c r="J123" i="2" s="1"/>
  <c r="J121" i="2"/>
  <c r="J117" i="3"/>
</calcChain>
</file>

<file path=xl/sharedStrings.xml><?xml version="1.0" encoding="utf-8"?>
<sst xmlns="http://schemas.openxmlformats.org/spreadsheetml/2006/main" count="3466" uniqueCount="604">
  <si>
    <t>Приложение № 1</t>
  </si>
  <si>
    <t>ОРГАНИЗАЦИЯ</t>
  </si>
  <si>
    <t>НАИМЕНОВАНИЕ</t>
  </si>
  <si>
    <t>КОММЕРЧЕСКОЕ ПРЕДЛОЖЕНИЕ № 1</t>
  </si>
  <si>
    <t>№</t>
  </si>
  <si>
    <t>Обоснование</t>
  </si>
  <si>
    <t>Наименование работ, затрат</t>
  </si>
  <si>
    <t>Ед. изм.</t>
  </si>
  <si>
    <t>Кол-во</t>
  </si>
  <si>
    <t>Цена за ед.изм., руб.</t>
  </si>
  <si>
    <t>Общая стоимость, руб.</t>
  </si>
  <si>
    <t>затрат</t>
  </si>
  <si>
    <t>материалы</t>
  </si>
  <si>
    <t>СМР</t>
  </si>
  <si>
    <t>Раздел №1</t>
  </si>
  <si>
    <t>Договорная цена</t>
  </si>
  <si>
    <t>м3</t>
  </si>
  <si>
    <t>цена поставки</t>
  </si>
  <si>
    <t>Уплотнение грунта пневматическими трамбовками, группа грунтов: 1, 2</t>
  </si>
  <si>
    <t>Итого</t>
  </si>
  <si>
    <t>Раздел №2</t>
  </si>
  <si>
    <t>1</t>
  </si>
  <si>
    <t>2</t>
  </si>
  <si>
    <t>Песок карьерный строительный с учетом доставки поставщиком</t>
  </si>
  <si>
    <t>3</t>
  </si>
  <si>
    <t>м</t>
  </si>
  <si>
    <t>3.1</t>
  </si>
  <si>
    <t>м2</t>
  </si>
  <si>
    <t>4</t>
  </si>
  <si>
    <t>Устройство песчаной подушки</t>
  </si>
  <si>
    <t>4.1</t>
  </si>
  <si>
    <t>Песок крупнозернистый с Кф&gt;3м/сут</t>
  </si>
  <si>
    <t>5</t>
  </si>
  <si>
    <t>Устройство дренирующей обсыпки (щебеночного фильтра)</t>
  </si>
  <si>
    <t>5.1</t>
  </si>
  <si>
    <t>Щебень для строительных работ марка 1000- 1200, фракция 5-10 мм</t>
  </si>
  <si>
    <t>шт</t>
  </si>
  <si>
    <t>6</t>
  </si>
  <si>
    <t>Устройство щебеночной подготовки основания колодцев толщ. 100 мм</t>
  </si>
  <si>
    <t>6.1</t>
  </si>
  <si>
    <t>Щебень, фракция 20-40 мм, М800</t>
  </si>
  <si>
    <t>кг</t>
  </si>
  <si>
    <t>8.2</t>
  </si>
  <si>
    <t>7</t>
  </si>
  <si>
    <t>Устройство круглых сборных железобетонных канализационных колодцев диаметром: 1 м в грунтах мокрых, в том числе бетонная подготовка в грунтах мокрых, монтаж сборных ж/б конструкций, устройство бетонного лотка, заделка труб, установка скоб ходовых, гидроизоляция стен и днища в мокрых грунтах</t>
  </si>
  <si>
    <t>7.1</t>
  </si>
  <si>
    <t>Кольцо опорное КО 6</t>
  </si>
  <si>
    <t>7.2</t>
  </si>
  <si>
    <t>7.3</t>
  </si>
  <si>
    <t>7.4</t>
  </si>
  <si>
    <t>7.5</t>
  </si>
  <si>
    <t>7.6</t>
  </si>
  <si>
    <t>8</t>
  </si>
  <si>
    <t>Пробивка в бетонных стенах и полах толщиной 100 мм отверстий площадью: до 500 см2</t>
  </si>
  <si>
    <t>9</t>
  </si>
  <si>
    <t xml:space="preserve">Установка люков </t>
  </si>
  <si>
    <t>9.1</t>
  </si>
  <si>
    <t>10</t>
  </si>
  <si>
    <t>10.1</t>
  </si>
  <si>
    <t>Раздел № 3</t>
  </si>
  <si>
    <t>т</t>
  </si>
  <si>
    <t>15</t>
  </si>
  <si>
    <t>15.1</t>
  </si>
  <si>
    <t>15.2</t>
  </si>
  <si>
    <t>16</t>
  </si>
  <si>
    <t>ВСЕГО по КП</t>
  </si>
  <si>
    <t>В том числе НДС 20%</t>
  </si>
  <si>
    <t>Объект: «Детское образовательное учреждение на 325 мест с бассейном», расположенное по адресу Ленинградская область, Всеволожский муниципальной район, Бугровское сельское поселение, поселок Бугры, массив Центральное (кадастровый номер участка 47:07:0713003:915).</t>
  </si>
  <si>
    <t>Приложение № 2</t>
  </si>
  <si>
    <t>НАРУЖНЫЙ ВОДОПРОВОД</t>
  </si>
  <si>
    <t>Прокладка водопровода за границами стройплощадки</t>
  </si>
  <si>
    <t>Разработка грунта в траншеях экскаватором "обратная лопата" с ковшом вместимостью 0,65 (0,5-1) м3, группа грунтов: 2</t>
  </si>
  <si>
    <t>Разработка грунта вручную в траншеях глубиной до 2 м без креплений с откосами, группа грунтов: 2</t>
  </si>
  <si>
    <t>Доработка грунта вручную в траншеях глубиной до 2 м без креплений с откосами, группа грунтов: 2</t>
  </si>
  <si>
    <t>Устройство основания: песчаного</t>
  </si>
  <si>
    <t>Песок строительный карьерный с учетом доставки поставщиком</t>
  </si>
  <si>
    <t>Укладка трубопроводов из полиэтиленовых труб диаметром: 100 мм</t>
  </si>
  <si>
    <t>Трубы напорные многослойные полиэтиленовые с соэкструдированными слоями питьевые, марка "МультиПайп II"  ПЭ 100 SDR 17, размером 110х6,6 мм</t>
  </si>
  <si>
    <t>Установка полиэтиленовых фасонных частей: тройников</t>
  </si>
  <si>
    <t>Тройник неравнопроходной 400*100</t>
  </si>
  <si>
    <t>8.1</t>
  </si>
  <si>
    <t>Установка полиэтиленовых электросварных муфт диаметром: 400 мм</t>
  </si>
  <si>
    <r>
      <t xml:space="preserve">Муфты полиэтиленовые электросварные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>400 мм</t>
    </r>
  </si>
  <si>
    <t>Установка фасонных частей чугунных диаметром: 250-400 мм</t>
  </si>
  <si>
    <r>
      <t xml:space="preserve">Демонтажная вставка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>400 мм</t>
    </r>
  </si>
  <si>
    <t>Установка полиэтиленовых фасонных частей: отводов, колен, патрубков, переходов</t>
  </si>
  <si>
    <t>11</t>
  </si>
  <si>
    <t>Втулка под фланец 400 мм</t>
  </si>
  <si>
    <t>Фланцы плоские прижимные Ду 400/Дтрубы 400 мм</t>
  </si>
  <si>
    <t>Установка задвижек или клапанов обратных стальных диаметром: 100 мм</t>
  </si>
  <si>
    <t>12</t>
  </si>
  <si>
    <t>11.1</t>
  </si>
  <si>
    <t>11.2</t>
  </si>
  <si>
    <t>12.1</t>
  </si>
  <si>
    <t>Втулка под фланец ПЭ DN100</t>
  </si>
  <si>
    <t>Фланец свободный для труб DN110</t>
  </si>
  <si>
    <t>Муфта электросварная SDR11.0 DN110</t>
  </si>
  <si>
    <t>13.1</t>
  </si>
  <si>
    <t>Устройство постоянных бетонных упоров на трубопроводе диаметром:  400 мм</t>
  </si>
  <si>
    <t>14</t>
  </si>
  <si>
    <t>упор бетонный УГ-1</t>
  </si>
  <si>
    <t>Водомерный узел в сборе</t>
  </si>
  <si>
    <t>узел</t>
  </si>
  <si>
    <t>Заделка сальников при проходе труб через фундаменты или стены подвала диаметром: до 200 мм</t>
  </si>
  <si>
    <t>14.1</t>
  </si>
  <si>
    <t>Промывка с дезинфекцией трубопроводов диаметром: 100 мм</t>
  </si>
  <si>
    <t>17</t>
  </si>
  <si>
    <t>Засыпка вручную траншей, пазух котлованов и ям, группа грунтов: 2</t>
  </si>
  <si>
    <t>18</t>
  </si>
  <si>
    <t>Песок для строительных работ природный, карьерный (с учетом доставки поставщиком)</t>
  </si>
  <si>
    <t>Засыпка траншей и котлованов с перемещением грунта до 5 м бульдозерами мощностью: 96 (130) кВт (л.с.), 2 группа грунтов</t>
  </si>
  <si>
    <t>19</t>
  </si>
  <si>
    <t>Планировка площадей бульдозерами мощностью: 79 (108) кВт (л.с.)</t>
  </si>
  <si>
    <t>20</t>
  </si>
  <si>
    <t>Устройство наружного водопровода в границах строительной площадки</t>
  </si>
  <si>
    <t xml:space="preserve">Труба МультиПАЙП II PE 100 RC SDR17 ∅110х6,6 "питьевая" </t>
  </si>
  <si>
    <t>Укладка трубопроводов из полиэтиленовых труб диаметром: 400 мм</t>
  </si>
  <si>
    <t xml:space="preserve">Труба ПЭ100 SDR17 ∅355x21,1 (футляр) </t>
  </si>
  <si>
    <t>Отвод сварной 90°односекционный ПЭ 100 SDR17,0 DN110</t>
  </si>
  <si>
    <t>Устройство постоянных бетонных упоров на трубопроводе диаметром: 100 мм</t>
  </si>
  <si>
    <t>Наружная хозяйственно-бытовая канализация</t>
  </si>
  <si>
    <t>Укладка трубопроводов из двухслойных гофрированных полиэтиленовых труб диаметром: до 200 мм</t>
  </si>
  <si>
    <t>Муфта полиэтиленовая для труб КОРСИС диаметром 200 мм</t>
  </si>
  <si>
    <t>Кольца уплотнительные для труб КОРСИС диаметром 200 мм</t>
  </si>
  <si>
    <t>Укладка трубопроводов из двухслойных гофрированных полиэтиленовых труб диаметром: до 160 мм</t>
  </si>
  <si>
    <t>Трубы безнапорные муфтовые из полиэтилена КОРСИС SN 8 диаметром 160 мм</t>
  </si>
  <si>
    <t>Прокладка в траншеях трубопроводов из чугунных канализационных труб диаметром: 100 мм</t>
  </si>
  <si>
    <t xml:space="preserve">Трубы из высокопрочного чугуна с шаровидным графитом с внутренним цементным покрытием, марка ЧШГ, диаметр 100 мм </t>
  </si>
  <si>
    <t>Присоединение канализационных трубопроводов к существующей сети в грунтах: мокрых</t>
  </si>
  <si>
    <t>Установка вертикальных стеклопластиковых емкостей типа Helyx объемом: до 6 м3</t>
  </si>
  <si>
    <t>Стремянки С01-01-05</t>
  </si>
  <si>
    <t>Плита днища ПН10 /бетон В15 (М200), объем 0,18 м3, расход ар-ры 15,14 кг / (серия 3.900.1-14)</t>
  </si>
  <si>
    <t>Кольцо стеновое смотровых колодцев КС10.6 /бетон В15 (М200), объем 0,16 м3, расход арматуры 3,95 кг / (серия 3.900.1-14)</t>
  </si>
  <si>
    <t>Кольцо стеновое смотровых колодцев КС10.9 /бетон В15 (М200), объем 0,24 м3, расход арматуры 5,66 кг / (серия 3.900.1-14)</t>
  </si>
  <si>
    <t>Плита перекрытия ПП10-2 /бетон В15 (М200), объем 0,10 м3, расход ар-ры 16,65 кг/ (серия 3.900.1-14)</t>
  </si>
  <si>
    <t>Кольцо стеновое смотровых колодцев КС7.3 /бетон В15 (М200), объем 0,05 м3, расход арматуры 1,64 кг / (серия 3.900.1-14)</t>
  </si>
  <si>
    <t>Устройство круглых сборных железобетонных канализационных колодцев диаметром: 1,5 м в грунтах мокрых</t>
  </si>
  <si>
    <t>Стремянка С1-05</t>
  </si>
  <si>
    <t>Плита днища ПН15 /бетон В15 (М200), объем 0,38 м3, расход ар-ры 33,13 кг / (серия 3.900.1-14)</t>
  </si>
  <si>
    <t>Кольцо стеновое смотровых колодцев КС15.6 /бетон В15 (М200), объем 0,265 м3, расход арматуры 4,94 кг / (серия 3.900.1-14)</t>
  </si>
  <si>
    <t>Кольцо стеновое смотровых колодцев КС15.9 /бетон В15 (М200), объем 0,40 м3, расход арматуры 7,02 кг / (серия 3.900.1-14)</t>
  </si>
  <si>
    <t>Плита перекрытия 1ПП15-2 /бетон В15 (М200), объем 0,27 м3, расход ар-ры 32,21 кг/ (серия 3.900.1-14)</t>
  </si>
  <si>
    <t>Кольцо опорное КО-6 /бетон В15 (М200), объем 0,02 м3, расход ар-ры 1,10 кг / (серия 3.900.1-14)</t>
  </si>
  <si>
    <t>Кольцо стеновое смотровых колодцев КС7.9 /бетон В15 (М200), объем 0,15 м3, расход арматуры 4,80 кг / (серия 3.900.1-14)</t>
  </si>
  <si>
    <t>8.3</t>
  </si>
  <si>
    <t>8.4</t>
  </si>
  <si>
    <t>8.5</t>
  </si>
  <si>
    <t>8.6</t>
  </si>
  <si>
    <t>8.7</t>
  </si>
  <si>
    <t>8.8</t>
  </si>
  <si>
    <t>Люк чугунный тип «Т» плавающий (С250) с резиновой прокладкой</t>
  </si>
  <si>
    <t>Люк ДМ1 плавающий (С250) - 1-58 - 60 с резиновой прокладкой</t>
  </si>
  <si>
    <t>Промывка без дезинфекции трубопроводов диаметром: 200 мм</t>
  </si>
  <si>
    <t>Телевизионное инспекционное обследование трубопровода после промывки с одновременной сушкой диаметром до: 300 мм</t>
  </si>
  <si>
    <t>Засыпка траншей и котлованов с перемещением грунта до 5 м бульдозерами мощностью: 96 (130) кВт (л.с.), 1 группа грунтов</t>
  </si>
  <si>
    <t>Устройство НКхб за красными линиями и подключение к коммунальной сети</t>
  </si>
  <si>
    <t>Засыпка вручную траншей, пазух котлованов и ям, группа грунтов: 1</t>
  </si>
  <si>
    <t>Муфта для прохода через ж/б колодец трубы ПП ?225/200 мм</t>
  </si>
  <si>
    <t>Трубы полимерные со структурированной стенкой для систем наружной канализации, марка "КОРСИС ПРО"  SN 16, наружным диаметром 200 мм</t>
  </si>
  <si>
    <t>врезка</t>
  </si>
  <si>
    <t xml:space="preserve">Телевизионное инспекционное обследование трубопровода </t>
  </si>
  <si>
    <t>Итого:</t>
  </si>
  <si>
    <t>Наружная ливневая канализация</t>
  </si>
  <si>
    <t>Разработка грунта в траншеях экскаватором "обратная лопата" с ковшом вместимостью 0,65 (0,5-1) м3, группа грунтов: 2 с погрузкой в автомобили-самосвалы</t>
  </si>
  <si>
    <t>Устройство основания: щебеночного (под колодцы)</t>
  </si>
  <si>
    <t>9.2</t>
  </si>
  <si>
    <t>7.7</t>
  </si>
  <si>
    <t>13</t>
  </si>
  <si>
    <t>Укладка трубопроводов из двухслойных гофрированных полиэтиленовых труб диаметром: до 225 мм</t>
  </si>
  <si>
    <t>14.2</t>
  </si>
  <si>
    <t>10.2</t>
  </si>
  <si>
    <t>Установка водомерных узлов, поставляемых на место монтажа собранными в блоки, с обводной линией диаметром ввода: до 100 мм, диаметром водомера до 80 мм (монтаж узла в камере)</t>
  </si>
  <si>
    <t xml:space="preserve">Задвижка клиновая Д=100 </t>
  </si>
  <si>
    <t>Шток L=1700-2900 мм</t>
  </si>
  <si>
    <t>Установка ковера с опорной плитой</t>
  </si>
  <si>
    <t>12.2</t>
  </si>
  <si>
    <t>Ковер композитный</t>
  </si>
  <si>
    <t>Опорная плита под ковер</t>
  </si>
  <si>
    <t>17.1</t>
  </si>
  <si>
    <t>Перевозка грунта на склад в пределах строительной площадки (до 1 км)</t>
  </si>
  <si>
    <t>итого по материалам и работе</t>
  </si>
  <si>
    <t>КОММЕРЧЕСКОЕ ПРЕДЛОЖЕНИЕ № 2</t>
  </si>
  <si>
    <t>Труба двухслойная гофрированная полиэтиленовая с гладкой внут-ренней стенкой и профилированной наружной поверхностью
 КОРСИС DN/OD ∅200/171 Р SN10 без раструба</t>
  </si>
  <si>
    <t>Установка перепадного устройства</t>
  </si>
  <si>
    <t>Переход КОРСИС ПРО DN 250х200</t>
  </si>
  <si>
    <t>Отвод 90° КОРСИС ПРО DN 200</t>
  </si>
  <si>
    <t>9.3</t>
  </si>
  <si>
    <t>Щебень из природного камня для строительных работ марка 400, фракция 10-20 мм</t>
  </si>
  <si>
    <t>Укладка трубопроводов из двухслойных гофрированных полиэтиленовых труб диаметром: до 250 мм</t>
  </si>
  <si>
    <t>Стремянки С01-01-04</t>
  </si>
  <si>
    <t>Промывка без дезинфекции трубопроводов диаметром: 250 мм</t>
  </si>
  <si>
    <t>Телевизионное инспекционное обследование трубопровода  диаметром до: 300 мм</t>
  </si>
  <si>
    <t>Прокладка трубопроводов канализации из полиэтиленовых труб высокой плотности диаметром: 100 мм</t>
  </si>
  <si>
    <t>Труба НПВХ со структурированной стенкой для наружной канализации SN4 D=110 мм, раструбная с уплотнительным кольцом и с фасонными частями</t>
  </si>
  <si>
    <t>Труба двухслойная гофрированная полипропиленовая с гладкой внутренней стенкой и профилированной наружной поверхностью
 КОРСИС ПРО DN/OD ∅250/213 SN10 без раструба</t>
  </si>
  <si>
    <t>Кольца уплотнительные для труб КОРСИС диаметром 250 мм</t>
  </si>
  <si>
    <t>Муфта полиэтиленовая для труб КОРСИС диаметром 250 мм</t>
  </si>
  <si>
    <t>Труба двухслойная гофрированная полипропиленовая с гладкой внутренней стенкой и профилированной наружной поверхностью
 КОРСИС ПРО DN/OD ∅225/200 SN10 без раструба</t>
  </si>
  <si>
    <t>Вывоз лишнего грунта на полигон 30 км</t>
  </si>
  <si>
    <t>10.3</t>
  </si>
  <si>
    <t>14.3</t>
  </si>
  <si>
    <t>14.4</t>
  </si>
  <si>
    <t>14.5</t>
  </si>
  <si>
    <t>14.6</t>
  </si>
  <si>
    <t>14.7</t>
  </si>
  <si>
    <t>Труба двухслойная гофрированная полипропиленовая с гладкой внутренней стенкой и профилированной наружной поверхностью
 КОРСИС ПРО DN/OD ∅315/271 Р SN16 с раструбом</t>
  </si>
  <si>
    <t>Уплотнительное кольцо для труб КОРСИС ПРО ID315</t>
  </si>
  <si>
    <t>Разработка грунта вручную</t>
  </si>
  <si>
    <t>Укладка трубопроводов из двухслойных гофрированных полиэтиленовых труб диаметром: до 300 мм</t>
  </si>
  <si>
    <t>15.3</t>
  </si>
  <si>
    <t>15.4</t>
  </si>
  <si>
    <t>15.5</t>
  </si>
  <si>
    <t>15.6</t>
  </si>
  <si>
    <t>15.7</t>
  </si>
  <si>
    <t>17.2</t>
  </si>
  <si>
    <t>Плита перекрытия 1ПП10-2 /бетон В15 (М200), объем 0,24 м3(серия 3.900.1-14)</t>
  </si>
  <si>
    <t>15.8</t>
  </si>
  <si>
    <t>траншея</t>
  </si>
  <si>
    <t>Vм3</t>
  </si>
  <si>
    <t>Н1</t>
  </si>
  <si>
    <t>Разборка покрытий и оснований: асфальтобетонных</t>
  </si>
  <si>
    <t>Разборка  оснований: щебеночных</t>
  </si>
  <si>
    <t>Установка: гидрантов пожарных</t>
  </si>
  <si>
    <t>Гидрант пожарный подземный VGA R39.40 с интегрированным узлом двойного запирания DN125, H=3000мм</t>
  </si>
  <si>
    <t>Подставка пожарная фланцевая односторонняя ППФО 100</t>
  </si>
  <si>
    <t>13.2</t>
  </si>
  <si>
    <t>Промывка с дезинфекцией трубопроводов диаметром: 400 мм</t>
  </si>
  <si>
    <t>Прокладка хояйственно-бытовой канализации в границах стройплощадки</t>
  </si>
  <si>
    <t>Земляные работы при прокладке хояйственно-бытовой канализации в границах стройплощадки</t>
  </si>
  <si>
    <t>Кол-во   01.08.24</t>
  </si>
  <si>
    <t>Земляные работы при прокладке ливневой канализации в границах стройплощадки</t>
  </si>
  <si>
    <t>Устройство НЛК за красными линиями и подключение к коммунальной сети</t>
  </si>
  <si>
    <t>Прокладка ливневой канализации в границах стройплощадки</t>
  </si>
  <si>
    <t>Работы по монтажу жироуловителя</t>
  </si>
  <si>
    <t>Устройство монолитной плиты под жироуловитель</t>
  </si>
  <si>
    <t>Дорнит 300г/м2</t>
  </si>
  <si>
    <t>Укладка дорнита</t>
  </si>
  <si>
    <t>Укладка щебня фр.20-40 с расклинцовкой крупнозернистым песком толщ. 200мм</t>
  </si>
  <si>
    <t>Устройство монолитной плиты толщ. 300мм</t>
  </si>
  <si>
    <t>Бетон В10</t>
  </si>
  <si>
    <t>Арматура 10А500С</t>
  </si>
  <si>
    <t>Щебень фр. 20-40</t>
  </si>
  <si>
    <t>Устройство монолитной пригрузочной плиты на жироуловитель</t>
  </si>
  <si>
    <t>Песчаная подготовка толщ. 200</t>
  </si>
  <si>
    <t>Песок крупнозернистый</t>
  </si>
  <si>
    <t>Устройство монолитной плиты толщ. 200мм</t>
  </si>
  <si>
    <t>13.1.1</t>
  </si>
  <si>
    <t>13.2.1</t>
  </si>
  <si>
    <t>13.3</t>
  </si>
  <si>
    <t>13.4</t>
  </si>
  <si>
    <t>13.4.1</t>
  </si>
  <si>
    <t>13.4.2</t>
  </si>
  <si>
    <t>15.1.1</t>
  </si>
  <si>
    <t>15.2.1</t>
  </si>
  <si>
    <t>15.4.1</t>
  </si>
  <si>
    <t>15.4.2</t>
  </si>
  <si>
    <t>Раздел №3</t>
  </si>
  <si>
    <t>Раздел №4</t>
  </si>
  <si>
    <t>Пленка полиэтиленовая 200мкм</t>
  </si>
  <si>
    <t>13.3.1</t>
  </si>
  <si>
    <t>Укладка полиэтилен. пленки 200мкм</t>
  </si>
  <si>
    <t>Итого по разделу №1</t>
  </si>
  <si>
    <t>Итого по разделу №2</t>
  </si>
  <si>
    <t>21</t>
  </si>
  <si>
    <t>22</t>
  </si>
  <si>
    <t>23</t>
  </si>
  <si>
    <t>23.1</t>
  </si>
  <si>
    <t>24</t>
  </si>
  <si>
    <t>25</t>
  </si>
  <si>
    <t>26</t>
  </si>
  <si>
    <t>26.1</t>
  </si>
  <si>
    <t>27</t>
  </si>
  <si>
    <t>28</t>
  </si>
  <si>
    <t>28.1</t>
  </si>
  <si>
    <t>28.2</t>
  </si>
  <si>
    <t>29</t>
  </si>
  <si>
    <t>30</t>
  </si>
  <si>
    <t>32</t>
  </si>
  <si>
    <t>Итого по разделу №3</t>
  </si>
  <si>
    <t>Жироотделитель 5л/ч FloTenk-OJV</t>
  </si>
  <si>
    <t>Итого по разделу№3:</t>
  </si>
  <si>
    <t>Итого по разделу№ 4:</t>
  </si>
  <si>
    <t>Устройство щебеночного основания</t>
  </si>
  <si>
    <t>Щебень марки 400, фракция 8мм</t>
  </si>
  <si>
    <t>Кольцо опорное КО-6</t>
  </si>
  <si>
    <t>Плита перекрытия ПП10-2</t>
  </si>
  <si>
    <t>Кольцо стеновое КС10.9</t>
  </si>
  <si>
    <t>Блок бетонный Б-8 Серия 3.503.1-66  0,5х0,5х0,08м, 0,018м3</t>
  </si>
  <si>
    <t>Люк Т плавающий  (С250) -Г.1-60 с резиновой прокладкой</t>
  </si>
  <si>
    <t>Устройство ж/б монолитной камеры разм. 2,5х2,0х2,49</t>
  </si>
  <si>
    <t>Дорнит 400г/м2</t>
  </si>
  <si>
    <t>Устройство основания из щебня фр.20-40 с расклинцовкой песком толщ.500мм</t>
  </si>
  <si>
    <t>Укладка пеноплекса 45 толщ. 100мм</t>
  </si>
  <si>
    <t>Бетонная подготовка</t>
  </si>
  <si>
    <t>Монолитая ж/б плита (нижняя)</t>
  </si>
  <si>
    <t>Устройство наплавляемой гидроизоляции</t>
  </si>
  <si>
    <t>Арматура 16А500С</t>
  </si>
  <si>
    <t>Арматура А10500С</t>
  </si>
  <si>
    <t>Шебень фр. 20-40</t>
  </si>
  <si>
    <t>Ультранап</t>
  </si>
  <si>
    <t>Гидрошпока Аквабарьер ХВН-150</t>
  </si>
  <si>
    <t>Геотекстиль 300г/м2</t>
  </si>
  <si>
    <t>Мембрана Вилладрейн 500</t>
  </si>
  <si>
    <t xml:space="preserve">Устройство монолитной плиты перекрытия камеры </t>
  </si>
  <si>
    <t>Арматура 12А500С</t>
  </si>
  <si>
    <t>Укладка пленки полиэтиленовой</t>
  </si>
  <si>
    <t>Бетон В25W10F150</t>
  </si>
  <si>
    <t>Пеноплекс 45 толщ100</t>
  </si>
  <si>
    <t xml:space="preserve">Устройство монолитных стен камеры с установкой гидрошпонки </t>
  </si>
  <si>
    <t>Кольцо стеновое КЦ7-3</t>
  </si>
  <si>
    <t>Утепленный деревянный люкТип пр. 901-9-17.87</t>
  </si>
  <si>
    <t>Люк  Т(С250) В.1-60 с замком</t>
  </si>
  <si>
    <t>Бентонитовый шнур30х30</t>
  </si>
  <si>
    <t>Гидроизоляция водопроводной камеры</t>
  </si>
  <si>
    <t xml:space="preserve">Монтаж готовых изделий </t>
  </si>
  <si>
    <t>Итого по разделу№2</t>
  </si>
  <si>
    <t>"Утверждаю"</t>
  </si>
  <si>
    <t>Наименование  объекта :</t>
  </si>
  <si>
    <t>Директор по строительству</t>
  </si>
  <si>
    <t xml:space="preserve"> "Детское образовательное учреждение на 325 мест с бассейном"</t>
  </si>
  <si>
    <t>по адресу: Ленинградская область,</t>
  </si>
  <si>
    <t>ООО "ПрокСтрой"</t>
  </si>
  <si>
    <t>Всеволожский муниципальный район,Бугровское</t>
  </si>
  <si>
    <t>сельское поселение,поселок Бугры, массив Центральное</t>
  </si>
  <si>
    <t>земельный участок с кадастровым номером 47:07:0713003:915</t>
  </si>
  <si>
    <t>"_____" _________________2024 г.</t>
  </si>
  <si>
    <t>Вид работ:устройство сети наружной ливневой канализация</t>
  </si>
  <si>
    <t>Вид работ:устройство сети наружной хозяйственно-бытовой канализация</t>
  </si>
  <si>
    <t>Главный инженер</t>
  </si>
  <si>
    <t>Начальник  ПТО</t>
  </si>
  <si>
    <t xml:space="preserve">                           _______________________ Бугаев М.Ю.</t>
  </si>
  <si>
    <t xml:space="preserve">                           _______________________Соломатина С.В.</t>
  </si>
  <si>
    <t xml:space="preserve">                           _______________________ Сергиенко Е.А.</t>
  </si>
  <si>
    <t>Зам.начальника СДО</t>
  </si>
  <si>
    <r>
      <t>по адресу:</t>
    </r>
    <r>
      <rPr>
        <b/>
        <i/>
        <sz val="12"/>
        <color theme="1"/>
        <rFont val="Times New Roman"/>
        <family val="1"/>
        <charset val="204"/>
      </rPr>
      <t xml:space="preserve"> Ленинградская область,</t>
    </r>
  </si>
  <si>
    <t>ВЕДОМОСТЬ ОБЪЕМОВ РАБОТ №1 по ДДУ на 325 мест с бассейном</t>
  </si>
  <si>
    <t>ВЕДОМОСТЬ ОБЪЕМОВ РАБОТ №2 по ДДУ на 325 мест с бассейном</t>
  </si>
  <si>
    <t xml:space="preserve">Кол-во   </t>
  </si>
  <si>
    <t>4.2</t>
  </si>
  <si>
    <t>Местный грунт</t>
  </si>
  <si>
    <t>Стремянки С1-01</t>
  </si>
  <si>
    <t>Стремянки С1-02</t>
  </si>
  <si>
    <t>Стремянки С1-03</t>
  </si>
  <si>
    <t>Стремянка С1-03</t>
  </si>
  <si>
    <t>Стремянка С1-04</t>
  </si>
  <si>
    <t>Плита перекрытия 1ПП15-1 /бетон В15 (М200), объем 0,27 м3, расход ар-ры 30 кг/ (серия 3.900.1-14)</t>
  </si>
  <si>
    <t>Бетон В25 W12 F150</t>
  </si>
  <si>
    <t>Монтаж установки ГНБ</t>
  </si>
  <si>
    <t>Бурение пилотной скважины ГНБ</t>
  </si>
  <si>
    <t>Предрасширение скважины ГНБ 250</t>
  </si>
  <si>
    <t>Окончательное расширение скважины ГНБ 700</t>
  </si>
  <si>
    <t>Предрасширение скважины ГНБ 600</t>
  </si>
  <si>
    <t>Предрасширение скважины ГНБ 500</t>
  </si>
  <si>
    <t>Предрасширение скважины ГНБ 400</t>
  </si>
  <si>
    <t>Предрасширение скважины ГНБ 350</t>
  </si>
  <si>
    <t>Протягивание труб ПЭ100 SDR d500х33,2</t>
  </si>
  <si>
    <t>Демонтаж установки ГНБ</t>
  </si>
  <si>
    <t>16.1</t>
  </si>
  <si>
    <t>Устройство бетонной подготовки толщ. 100мм</t>
  </si>
  <si>
    <t>16.2</t>
  </si>
  <si>
    <t>_________________Мышелов Д.В.</t>
  </si>
  <si>
    <t>Стремянки С1-04</t>
  </si>
  <si>
    <t>Труба двухслойная гофрированная полипропиленовая с гладкой внутренней стенкой и профилированной наружной поверхностью
 КОРСИС ПРО DN/OD ∅230/200 SN10 без раструба</t>
  </si>
  <si>
    <t>Плита перекрытия 1ПП15-1 /бетон В15 (М200), объем 0,27 м3, расход ар-ры 32,21 кг/ (серия 3.900.1-14)</t>
  </si>
  <si>
    <t>Окончательное расширение скважины ГНБ 800</t>
  </si>
  <si>
    <t>Предрасширение скважины ГНБ 700</t>
  </si>
  <si>
    <t>Протягивание труб ПЭ100 SDR d560х33,2</t>
  </si>
  <si>
    <t>13.5</t>
  </si>
  <si>
    <t>13.6</t>
  </si>
  <si>
    <t>13.7</t>
  </si>
  <si>
    <t>13.8</t>
  </si>
  <si>
    <t>13.9</t>
  </si>
  <si>
    <t>13.10</t>
  </si>
  <si>
    <t>31</t>
  </si>
  <si>
    <t>33</t>
  </si>
  <si>
    <t>34</t>
  </si>
  <si>
    <t>35</t>
  </si>
  <si>
    <t>36</t>
  </si>
  <si>
    <t>37</t>
  </si>
  <si>
    <t>37.1</t>
  </si>
  <si>
    <t>38</t>
  </si>
  <si>
    <t>39</t>
  </si>
  <si>
    <t>40</t>
  </si>
  <si>
    <t>41</t>
  </si>
  <si>
    <t>Промывка без дезинфекции трубопроводов диаметром: 100 мм</t>
  </si>
  <si>
    <t>Телевизионное инспекционное обследование трубопровода  диаметром до: 100 мм</t>
  </si>
  <si>
    <t>34.1</t>
  </si>
  <si>
    <t>39.1</t>
  </si>
  <si>
    <t>39.2</t>
  </si>
  <si>
    <t>42</t>
  </si>
  <si>
    <t>43</t>
  </si>
  <si>
    <t>Телевизионное инспекционное обследование трубопровода после промывки с одновременной сушкой диаметром до: 100 мм</t>
  </si>
  <si>
    <t>14.8</t>
  </si>
  <si>
    <t>14.9</t>
  </si>
  <si>
    <t>14.10</t>
  </si>
  <si>
    <t>21.1</t>
  </si>
  <si>
    <t>21.1.1</t>
  </si>
  <si>
    <t>21.2</t>
  </si>
  <si>
    <t>21.2.1</t>
  </si>
  <si>
    <t>21.3</t>
  </si>
  <si>
    <t>21.3.1</t>
  </si>
  <si>
    <t>21.4</t>
  </si>
  <si>
    <t>21.4.1</t>
  </si>
  <si>
    <t>21.5</t>
  </si>
  <si>
    <t>21.5.1</t>
  </si>
  <si>
    <t>21.5.2</t>
  </si>
  <si>
    <t>22.1</t>
  </si>
  <si>
    <t>23.1.1</t>
  </si>
  <si>
    <t>23.2</t>
  </si>
  <si>
    <t>23.2.1</t>
  </si>
  <si>
    <t>23.3</t>
  </si>
  <si>
    <t>23.3.1</t>
  </si>
  <si>
    <t>23.4</t>
  </si>
  <si>
    <t>23.4.1</t>
  </si>
  <si>
    <t>23.4.2</t>
  </si>
  <si>
    <t>36.1</t>
  </si>
  <si>
    <t>40.1</t>
  </si>
  <si>
    <t>40.2</t>
  </si>
  <si>
    <t>42.1</t>
  </si>
  <si>
    <t>44</t>
  </si>
  <si>
    <t>45</t>
  </si>
  <si>
    <t>Земляные работы при прокладке наружного водопровода в границах стройплощадки</t>
  </si>
  <si>
    <t>Труба МультиПАЙН II PE 100 RC SDR17 d110х6,6 "питьевая"</t>
  </si>
  <si>
    <t>Укладка трубопроводов из полиэтиленовых труб диаметром: 400мм</t>
  </si>
  <si>
    <t>Труба ПЭ100 SDR17 d355х21,1 (футляр)</t>
  </si>
  <si>
    <t>Упор бетонный УГ-1</t>
  </si>
  <si>
    <t>Устройство ж/б монолитной камеры разм. 3,2х2,4х2,49</t>
  </si>
  <si>
    <t>Устройство основания: щебеночного</t>
  </si>
  <si>
    <t>Фундаментная плита</t>
  </si>
  <si>
    <t>Устройство монолитных стен камеры</t>
  </si>
  <si>
    <t xml:space="preserve">Устройство монолитной плиты покрытия камеры </t>
  </si>
  <si>
    <t>Каркас Кр-1</t>
  </si>
  <si>
    <t>Лестница металлическая Л-1</t>
  </si>
  <si>
    <t>Скобы ходовые</t>
  </si>
  <si>
    <t>Арматура d12 А500С</t>
  </si>
  <si>
    <t>Арматура d10 A500С</t>
  </si>
  <si>
    <t>Арматура d16 А500С</t>
  </si>
  <si>
    <t>Прокладка наружного водопровода в границах стройплощадки</t>
  </si>
  <si>
    <t>Устройство наружного водопровода за красными линиями и подключение к коммунальной сети</t>
  </si>
  <si>
    <t>Протягивание труб ПЭ100 SDR d500х29,7</t>
  </si>
  <si>
    <t>Укладка трубопроводов из двухслойных гофрированных полиэтиленовых труб диаметром: 100 мм</t>
  </si>
  <si>
    <t>Труба МултиПЛЕКС II PE 100 RC SDR17 d110х6,6 "питьевая"</t>
  </si>
  <si>
    <t>Гидравлическое испытание трубопроводов  диаметром: до 100 мм</t>
  </si>
  <si>
    <t>Раздел № 4</t>
  </si>
  <si>
    <t>16.3</t>
  </si>
  <si>
    <t>16.4</t>
  </si>
  <si>
    <t>17.3</t>
  </si>
  <si>
    <t>17.4</t>
  </si>
  <si>
    <t>17.4.1</t>
  </si>
  <si>
    <t>17.4.2</t>
  </si>
  <si>
    <t>17.5</t>
  </si>
  <si>
    <t>18.1</t>
  </si>
  <si>
    <t>18.2</t>
  </si>
  <si>
    <t>18.3</t>
  </si>
  <si>
    <t>19.1</t>
  </si>
  <si>
    <t>19.2</t>
  </si>
  <si>
    <t>19.3</t>
  </si>
  <si>
    <t>19.4</t>
  </si>
  <si>
    <t>20.1</t>
  </si>
  <si>
    <t>20.2</t>
  </si>
  <si>
    <t>20.3</t>
  </si>
  <si>
    <t>20.4</t>
  </si>
  <si>
    <t>20.5</t>
  </si>
  <si>
    <t>42.2</t>
  </si>
  <si>
    <t>42.3</t>
  </si>
  <si>
    <t>42.4</t>
  </si>
  <si>
    <t>43.1</t>
  </si>
  <si>
    <t>44.1</t>
  </si>
  <si>
    <t>45.1</t>
  </si>
  <si>
    <t>45.2</t>
  </si>
  <si>
    <t>46</t>
  </si>
  <si>
    <t>46.1</t>
  </si>
  <si>
    <t>46.2</t>
  </si>
  <si>
    <t>47</t>
  </si>
  <si>
    <t>47.1</t>
  </si>
  <si>
    <t>47.2</t>
  </si>
  <si>
    <t>48</t>
  </si>
  <si>
    <t>48.1</t>
  </si>
  <si>
    <t>48.2</t>
  </si>
  <si>
    <t>49</t>
  </si>
  <si>
    <t>49.1</t>
  </si>
  <si>
    <t>50</t>
  </si>
  <si>
    <t>50.1</t>
  </si>
  <si>
    <t>50.2</t>
  </si>
  <si>
    <t>50.3</t>
  </si>
  <si>
    <t>50.4</t>
  </si>
  <si>
    <t>50.5</t>
  </si>
  <si>
    <t>50.6</t>
  </si>
  <si>
    <t>51</t>
  </si>
  <si>
    <t>52</t>
  </si>
  <si>
    <t>ВЕДОМОСТЬ ОБЪЕМОВ РАБОТ №3 по ДДУ на 325 мест с бассейном</t>
  </si>
  <si>
    <t>Король Т.Г</t>
  </si>
  <si>
    <t>Начальник СДО</t>
  </si>
  <si>
    <t>Соломатина С.В.</t>
  </si>
  <si>
    <t>Бугаев М.Ю.</t>
  </si>
  <si>
    <t>Прочие материалы</t>
  </si>
  <si>
    <t>Трубопроводы</t>
  </si>
  <si>
    <t>Гидроизоляция битумная за 2 раза</t>
  </si>
  <si>
    <t>Люк тяжелый Т (С250)</t>
  </si>
  <si>
    <t>Кольцо опорное К06</t>
  </si>
  <si>
    <t>Плита перекрытия 1ПП10-2</t>
  </si>
  <si>
    <t>Кольцо стеновое КС10.6</t>
  </si>
  <si>
    <t>Кольцо стеновое КС7.3</t>
  </si>
  <si>
    <t>2.10</t>
  </si>
  <si>
    <t>2.9</t>
  </si>
  <si>
    <t>2.8</t>
  </si>
  <si>
    <t>2.7</t>
  </si>
  <si>
    <t>Стремянка С1-02</t>
  </si>
  <si>
    <t>2.6</t>
  </si>
  <si>
    <t>2.5</t>
  </si>
  <si>
    <t>2.4</t>
  </si>
  <si>
    <t>Кольцо стеновое КС15.9</t>
  </si>
  <si>
    <t>2.3</t>
  </si>
  <si>
    <t>Кольцо стеновое КС15.6</t>
  </si>
  <si>
    <t>2.2</t>
  </si>
  <si>
    <t xml:space="preserve">шт </t>
  </si>
  <si>
    <t>2.1</t>
  </si>
  <si>
    <t>Колодец сборный из железобетонных колец ∅1500 мм</t>
  </si>
  <si>
    <t>Стремянка С1-01</t>
  </si>
  <si>
    <t>1.9</t>
  </si>
  <si>
    <t>1.8</t>
  </si>
  <si>
    <t>1.7</t>
  </si>
  <si>
    <t>Плита днища ПН10</t>
  </si>
  <si>
    <t>1.6</t>
  </si>
  <si>
    <t>1.5</t>
  </si>
  <si>
    <t>1.4</t>
  </si>
  <si>
    <t>1.3</t>
  </si>
  <si>
    <t>1.2</t>
  </si>
  <si>
    <t>1.1</t>
  </si>
  <si>
    <t>Колодец сборный из железобетонных колец ∅1000 мм</t>
  </si>
  <si>
    <t>Колодцы</t>
  </si>
  <si>
    <t>Щебень</t>
  </si>
  <si>
    <t>Песок</t>
  </si>
  <si>
    <t>Земляные работы</t>
  </si>
  <si>
    <t>Всего</t>
  </si>
  <si>
    <r>
      <t xml:space="preserve">Объём работ и нормативная потребность материалов на объект по производственной норме </t>
    </r>
    <r>
      <rPr>
        <b/>
        <sz val="10"/>
        <rFont val="Times New Roman"/>
        <family val="1"/>
        <charset val="204"/>
      </rPr>
      <t>(</t>
    </r>
    <r>
      <rPr>
        <b/>
        <i/>
        <sz val="10"/>
        <rFont val="Times New Roman"/>
        <family val="1"/>
        <charset val="204"/>
      </rPr>
      <t>По 14/П-14-V-НВК. Стадия Р</t>
    </r>
    <r>
      <rPr>
        <b/>
        <sz val="10"/>
        <rFont val="Times New Roman"/>
        <family val="1"/>
        <charset val="204"/>
      </rPr>
      <t>)</t>
    </r>
  </si>
  <si>
    <r>
      <t>К</t>
    </r>
    <r>
      <rPr>
        <sz val="8"/>
        <rFont val="Times New Roman"/>
        <family val="1"/>
        <charset val="204"/>
      </rPr>
      <t>нахлест</t>
    </r>
  </si>
  <si>
    <t>H, м</t>
  </si>
  <si>
    <r>
      <t>S</t>
    </r>
    <r>
      <rPr>
        <sz val="8"/>
        <rFont val="Times New Roman"/>
        <family val="1"/>
        <charset val="204"/>
      </rPr>
      <t>плиты 3-я секция, м2</t>
    </r>
  </si>
  <si>
    <r>
      <t>S</t>
    </r>
    <r>
      <rPr>
        <sz val="8"/>
        <rFont val="Times New Roman"/>
        <family val="1"/>
        <charset val="204"/>
      </rPr>
      <t>осн. Стен 3-я секция, м2</t>
    </r>
  </si>
  <si>
    <r>
      <t>P</t>
    </r>
    <r>
      <rPr>
        <sz val="8"/>
        <rFont val="Times New Roman"/>
        <family val="1"/>
        <charset val="204"/>
      </rPr>
      <t>проемов 3-я секция</t>
    </r>
    <r>
      <rPr>
        <sz val="10"/>
        <rFont val="Times New Roman"/>
        <family val="1"/>
        <charset val="204"/>
      </rPr>
      <t>, м.п.</t>
    </r>
  </si>
  <si>
    <r>
      <t>L</t>
    </r>
    <r>
      <rPr>
        <sz val="8"/>
        <rFont val="Times New Roman"/>
        <family val="1"/>
        <charset val="204"/>
      </rPr>
      <t>стен 3-я секция</t>
    </r>
    <r>
      <rPr>
        <sz val="10"/>
        <rFont val="Times New Roman"/>
        <family val="1"/>
        <charset val="204"/>
      </rPr>
      <t>, м</t>
    </r>
  </si>
  <si>
    <r>
      <t>S</t>
    </r>
    <r>
      <rPr>
        <sz val="8"/>
        <rFont val="Times New Roman"/>
        <family val="1"/>
        <charset val="204"/>
      </rPr>
      <t>плиты 2-я секция, м2</t>
    </r>
  </si>
  <si>
    <r>
      <t>S</t>
    </r>
    <r>
      <rPr>
        <sz val="8"/>
        <rFont val="Times New Roman"/>
        <family val="1"/>
        <charset val="204"/>
      </rPr>
      <t>осн. Стен 2-я секция, м2</t>
    </r>
  </si>
  <si>
    <r>
      <t>P</t>
    </r>
    <r>
      <rPr>
        <sz val="8"/>
        <rFont val="Times New Roman"/>
        <family val="1"/>
        <charset val="204"/>
      </rPr>
      <t>проемов 2-я секция</t>
    </r>
    <r>
      <rPr>
        <sz val="10"/>
        <rFont val="Times New Roman"/>
        <family val="1"/>
        <charset val="204"/>
      </rPr>
      <t>, м.п.</t>
    </r>
  </si>
  <si>
    <r>
      <t>L</t>
    </r>
    <r>
      <rPr>
        <sz val="8"/>
        <rFont val="Times New Roman"/>
        <family val="1"/>
        <charset val="204"/>
      </rPr>
      <t>стен 2-я секция</t>
    </r>
    <r>
      <rPr>
        <sz val="10"/>
        <rFont val="Times New Roman"/>
        <family val="1"/>
        <charset val="204"/>
      </rPr>
      <t>, м</t>
    </r>
  </si>
  <si>
    <r>
      <t>S</t>
    </r>
    <r>
      <rPr>
        <sz val="8"/>
        <rFont val="Times New Roman"/>
        <family val="1"/>
        <charset val="204"/>
      </rPr>
      <t>плиты 1-я секция, м2</t>
    </r>
  </si>
  <si>
    <r>
      <t>S</t>
    </r>
    <r>
      <rPr>
        <sz val="8"/>
        <rFont val="Times New Roman"/>
        <family val="1"/>
        <charset val="204"/>
      </rPr>
      <t>осн. Стен 1-я секция, м2</t>
    </r>
  </si>
  <si>
    <r>
      <t>P</t>
    </r>
    <r>
      <rPr>
        <sz val="8"/>
        <rFont val="Times New Roman"/>
        <family val="1"/>
        <charset val="204"/>
      </rPr>
      <t>проемов 1-я секция</t>
    </r>
    <r>
      <rPr>
        <sz val="10"/>
        <rFont val="Times New Roman"/>
        <family val="1"/>
        <charset val="204"/>
      </rPr>
      <t>, м.п.</t>
    </r>
  </si>
  <si>
    <r>
      <t>L</t>
    </r>
    <r>
      <rPr>
        <sz val="8"/>
        <rFont val="Times New Roman"/>
        <family val="1"/>
        <charset val="204"/>
      </rPr>
      <t>стен 1-я секция</t>
    </r>
    <r>
      <rPr>
        <sz val="10"/>
        <rFont val="Times New Roman"/>
        <family val="1"/>
        <charset val="204"/>
      </rPr>
      <t>, м</t>
    </r>
  </si>
  <si>
    <t>Норма расхода материала на еденицу измерения работ по согласованным нормам списания материалов на предприятии</t>
  </si>
  <si>
    <t>ЕИ</t>
  </si>
  <si>
    <t>Наименование видов работ, конструктивных элементов и материалов</t>
  </si>
  <si>
    <t>Код</t>
  </si>
  <si>
    <t>№ п.п.</t>
  </si>
  <si>
    <t xml:space="preserve">стр.поз. №17, №18, №19, №20, №21, №22, "23 (участок №912) </t>
  </si>
  <si>
    <t xml:space="preserve"> "Многоэтажные жилые дома"</t>
  </si>
  <si>
    <t>Труба двухслойная гофрированная полиэтиленовая с гладкой внут-ренней стенкой и профилированной наружной поверхностью
 КОРСИС DN/OD ∅200/173 Р SN10 без раструба</t>
  </si>
  <si>
    <t>Труба двухслойная гофрированная полиэтиленовая с гладкой внут-ренней стенкой и профилированной наружной поверхностью КОРСИС DN/OD ∅200/173 Р SN16 без раструба</t>
  </si>
  <si>
    <t>Труба двухслойная гофрированная полиэтиленовая с гладкой внут-ренней стенкой и профилированной наружной поверхностью КОРСИС DN/OD ∅200/173 Р SN10 без раструба</t>
  </si>
  <si>
    <t>Муфта для прохода через ж/б колодец трубы ПП d225/200 мм</t>
  </si>
  <si>
    <t>Труба ПЭ100 SDR17 d500х29,7</t>
  </si>
  <si>
    <t>Люк ДМ1 плавающий</t>
  </si>
  <si>
    <t>Плита перекрытия 1ПП15-1</t>
  </si>
  <si>
    <t>Плита днища ПН15</t>
  </si>
  <si>
    <t>Кольцо стеновое КС7.9</t>
  </si>
  <si>
    <t>35.1</t>
  </si>
  <si>
    <t>Труба двухслойная гофрированная полипропиленовая с гладкой внутренней стенкой и профилированной наружной поверхностью
 КОРСИС ПРО DN/OD ∅250/217 SN10 без раструба</t>
  </si>
  <si>
    <t>Муфта полиэтиленовая для труб КОРСИС диаметром 315 мм</t>
  </si>
  <si>
    <t>Уплотнительное кольцо для труб КОРСИС диаметром 315 мм</t>
  </si>
  <si>
    <t xml:space="preserve">Труба двухслойная гофрированная полипропиленовая с гладкой внутренней стенкой и профилированной наружной поверхностью КОРСИС ПРО DN/OD ∅230/200 SN10 без раструба </t>
  </si>
  <si>
    <t>Труба двухслойная гофрированная полипропиленовая с гладкой внутренней стенкой и профилированной наружной поверхностью КОРСИС ПРО DN/OD ∅250/217 SN10 без раструба</t>
  </si>
  <si>
    <t>Труба двухслойная гофрированная полипропиленовая с гладкой внутренней стенкой и профилированной наружной поверхностью КОРСИС ПРО DN/OD ∅315/271 Р SN16 с раструбом</t>
  </si>
  <si>
    <t>39.3</t>
  </si>
  <si>
    <t>Труба ПЭ100 SDR17 d560х33,2</t>
  </si>
  <si>
    <t>ЛИМИТНО-ЗАБОРНАЯ КАРТА  № 2</t>
  </si>
  <si>
    <t>ЛИМИТНО-ЗАБОРНАЯ КАРТА  № 1</t>
  </si>
  <si>
    <t>Вид работ: устройство сети наружной ливневой канализация</t>
  </si>
  <si>
    <t>Вид работ: устройство наружной хозяйственно-бытовой канализации</t>
  </si>
  <si>
    <t>38.1</t>
  </si>
  <si>
    <t>Вид работ: устройство сети наружного водопровода</t>
  </si>
  <si>
    <t>Демонтажная вставка Ø400 мм</t>
  </si>
  <si>
    <t>Муфты полиэтиленовые электросварные Ø400 мм</t>
  </si>
  <si>
    <t>Песок для строительных работ природный</t>
  </si>
  <si>
    <t>Муфта электросварная SDR11.0 DN11</t>
  </si>
  <si>
    <t>ЛИМИТНО-ЗАБОРНАЯ КАРТА  № 3</t>
  </si>
  <si>
    <t>Труба ПЭ100 SDR17 d500х29,7 (футляр)</t>
  </si>
  <si>
    <t>Труба ПЭ100 SDR17 d560х33,2 (футляр)</t>
  </si>
  <si>
    <t>32.1</t>
  </si>
  <si>
    <t>Обязательно! На фирменном бланке организации!</t>
  </si>
  <si>
    <t>Коммерческое предложение</t>
  </si>
  <si>
    <t>на выполнение комплекса работ по устройствe сети наружной хозяйственно-бытовой канализация</t>
  </si>
  <si>
    <t>Стоимость ед., руб., в т.ч. НДС</t>
  </si>
  <si>
    <t>Стоимость всего, руб., в т.ч. НДС</t>
  </si>
  <si>
    <t>Примечание</t>
  </si>
  <si>
    <t>Материалы</t>
  </si>
  <si>
    <t>ИТОГО</t>
  </si>
  <si>
    <t>мм</t>
  </si>
  <si>
    <t>Всего  с НДС 20%, руб.:</t>
  </si>
  <si>
    <t>в том числе НДС 20%, руб.:</t>
  </si>
  <si>
    <t>2 вариант</t>
  </si>
  <si>
    <t xml:space="preserve">Объект:  " Детское образовательное учреждение на 325 мест с бассейном"" по адресу: Ленинградская область, Всеволожский муниципальный район, Бугровское сельское поселение, массив Центральное, земельный участок с кадастровым номером 47:07:0713003:915
</t>
  </si>
  <si>
    <t>на выполнение комплекса работ по устройствe сети наружной ливневой канализация</t>
  </si>
  <si>
    <t>на выполнение комплекса работ по устройствe сети  наружного водопровода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</si>
</sst>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00"/>
    <numFmt numFmtId="165" formatCode="0.000"/>
    <numFmt numFmtId="166" formatCode="0.0"/>
    <numFmt numFmtId="167" formatCode="#,##0.0"/>
    <numFmt numFmtId="168" formatCode="[$-419]General"/>
    <numFmt numFmtId="169" formatCode="_-* #,##0.00\ _₽_-;\-* #,##0.00\ _₽_-;_-* &quot;-&quot;??\ _₽_-;_-@_-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2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2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FF0000"/>
      <name val="Arial"/>
      <family val="2"/>
      <charset val="204"/>
    </font>
    <font>
      <sz val="10"/>
      <name val="Arial Cyr"/>
      <charset val="204"/>
    </font>
    <font>
      <b/>
      <sz val="12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0" fontId="1" fillId="0" borderId="0"/>
    <xf numFmtId="43" fontId="1" fillId="0" borderId="0" applyFont="0" applyFill="0" applyBorder="0" applyAlignment="0" applyProtection="0"/>
    <xf numFmtId="168" fontId="39" fillId="0" borderId="0" applyBorder="0" applyProtection="0"/>
    <xf numFmtId="0" fontId="42" fillId="0" borderId="0"/>
  </cellStyleXfs>
  <cellXfs count="739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4" fontId="2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vertical="center" wrapText="1"/>
    </xf>
    <xf numFmtId="4" fontId="3" fillId="0" borderId="29" xfId="0" applyNumberFormat="1" applyFont="1" applyBorder="1" applyAlignment="1">
      <alignment horizontal="center" vertical="center" wrapText="1"/>
    </xf>
    <xf numFmtId="4" fontId="3" fillId="0" borderId="30" xfId="0" applyNumberFormat="1" applyFont="1" applyBorder="1" applyAlignment="1">
      <alignment horizontal="center" vertical="center" wrapText="1"/>
    </xf>
    <xf numFmtId="4" fontId="3" fillId="0" borderId="31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4" fontId="3" fillId="0" borderId="33" xfId="0" applyNumberFormat="1" applyFont="1" applyBorder="1" applyAlignment="1">
      <alignment horizontal="center" vertical="center" wrapText="1"/>
    </xf>
    <xf numFmtId="4" fontId="3" fillId="0" borderId="34" xfId="0" applyNumberFormat="1" applyFont="1" applyBorder="1" applyAlignment="1">
      <alignment horizontal="center" vertical="center" wrapText="1"/>
    </xf>
    <xf numFmtId="4" fontId="3" fillId="0" borderId="35" xfId="0" applyNumberFormat="1" applyFont="1" applyBorder="1" applyAlignment="1">
      <alignment horizontal="center" vertical="center" wrapText="1"/>
    </xf>
    <xf numFmtId="4" fontId="3" fillId="0" borderId="36" xfId="0" applyNumberFormat="1" applyFont="1" applyBorder="1" applyAlignment="1">
      <alignment horizontal="center" vertical="center" wrapText="1"/>
    </xf>
    <xf numFmtId="4" fontId="3" fillId="0" borderId="39" xfId="0" applyNumberFormat="1" applyFont="1" applyBorder="1" applyAlignment="1">
      <alignment horizontal="center" vertical="center" wrapText="1"/>
    </xf>
    <xf numFmtId="4" fontId="3" fillId="0" borderId="40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vertical="center" wrapText="1"/>
    </xf>
    <xf numFmtId="0" fontId="2" fillId="0" borderId="43" xfId="0" applyFont="1" applyBorder="1" applyAlignment="1">
      <alignment horizontal="center" vertical="center" wrapText="1"/>
    </xf>
    <xf numFmtId="4" fontId="2" fillId="0" borderId="44" xfId="0" applyNumberFormat="1" applyFont="1" applyBorder="1" applyAlignment="1">
      <alignment horizontal="center" vertical="center" wrapText="1"/>
    </xf>
    <xf numFmtId="4" fontId="2" fillId="0" borderId="45" xfId="0" applyNumberFormat="1" applyFont="1" applyBorder="1" applyAlignment="1">
      <alignment horizontal="center" vertical="center" wrapText="1"/>
    </xf>
    <xf numFmtId="4" fontId="2" fillId="0" borderId="46" xfId="0" applyNumberFormat="1" applyFont="1" applyBorder="1" applyAlignment="1">
      <alignment horizontal="center" vertical="center" wrapText="1"/>
    </xf>
    <xf numFmtId="4" fontId="2" fillId="0" borderId="47" xfId="0" applyNumberFormat="1" applyFont="1" applyBorder="1" applyAlignment="1">
      <alignment horizontal="center" vertical="center" wrapText="1"/>
    </xf>
    <xf numFmtId="49" fontId="3" fillId="0" borderId="41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vertical="center" wrapText="1"/>
    </xf>
    <xf numFmtId="4" fontId="3" fillId="0" borderId="44" xfId="0" applyNumberFormat="1" applyFont="1" applyBorder="1" applyAlignment="1">
      <alignment horizontal="center" vertical="center" wrapText="1"/>
    </xf>
    <xf numFmtId="4" fontId="3" fillId="0" borderId="45" xfId="0" applyNumberFormat="1" applyFont="1" applyBorder="1" applyAlignment="1">
      <alignment horizontal="center" vertical="center" wrapText="1"/>
    </xf>
    <xf numFmtId="4" fontId="3" fillId="0" borderId="46" xfId="0" applyNumberFormat="1" applyFont="1" applyBorder="1" applyAlignment="1">
      <alignment horizontal="center" vertical="center" wrapText="1"/>
    </xf>
    <xf numFmtId="4" fontId="3" fillId="0" borderId="47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42" xfId="0" applyFont="1" applyBorder="1" applyAlignment="1">
      <alignment vertical="center" wrapText="1"/>
    </xf>
    <xf numFmtId="0" fontId="3" fillId="0" borderId="43" xfId="0" applyFont="1" applyBorder="1" applyAlignment="1">
      <alignment horizontal="center" vertical="center" wrapText="1"/>
    </xf>
    <xf numFmtId="0" fontId="4" fillId="0" borderId="48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49" xfId="0" applyFont="1" applyBorder="1" applyAlignment="1">
      <alignment horizontal="center" vertical="center" wrapText="1"/>
    </xf>
    <xf numFmtId="49" fontId="3" fillId="0" borderId="50" xfId="0" applyNumberFormat="1" applyFont="1" applyBorder="1" applyAlignment="1">
      <alignment horizontal="center" vertical="center" wrapText="1"/>
    </xf>
    <xf numFmtId="0" fontId="3" fillId="0" borderId="48" xfId="0" applyFont="1" applyBorder="1" applyAlignment="1">
      <alignment vertical="center" wrapText="1"/>
    </xf>
    <xf numFmtId="0" fontId="3" fillId="0" borderId="49" xfId="0" applyFont="1" applyBorder="1" applyAlignment="1">
      <alignment horizontal="center" vertical="center" wrapText="1"/>
    </xf>
    <xf numFmtId="4" fontId="3" fillId="0" borderId="51" xfId="0" applyNumberFormat="1" applyFont="1" applyBorder="1" applyAlignment="1">
      <alignment horizontal="center" vertical="center" wrapText="1"/>
    </xf>
    <xf numFmtId="4" fontId="3" fillId="0" borderId="52" xfId="0" applyNumberFormat="1" applyFont="1" applyBorder="1" applyAlignment="1">
      <alignment horizontal="center" vertical="center" wrapText="1"/>
    </xf>
    <xf numFmtId="4" fontId="3" fillId="0" borderId="53" xfId="0" applyNumberFormat="1" applyFont="1" applyBorder="1" applyAlignment="1">
      <alignment horizontal="center" vertical="center" wrapText="1"/>
    </xf>
    <xf numFmtId="4" fontId="3" fillId="0" borderId="54" xfId="0" applyNumberFormat="1" applyFont="1" applyBorder="1" applyAlignment="1">
      <alignment horizontal="center" vertical="center" wrapText="1"/>
    </xf>
    <xf numFmtId="49" fontId="2" fillId="0" borderId="50" xfId="0" applyNumberFormat="1" applyFont="1" applyBorder="1" applyAlignment="1">
      <alignment horizontal="center" vertical="center" wrapText="1"/>
    </xf>
    <xf numFmtId="49" fontId="2" fillId="0" borderId="43" xfId="0" applyNumberFormat="1" applyFont="1" applyBorder="1" applyAlignment="1">
      <alignment horizontal="center" vertical="center" wrapText="1"/>
    </xf>
    <xf numFmtId="4" fontId="2" fillId="0" borderId="53" xfId="0" applyNumberFormat="1" applyFont="1" applyBorder="1" applyAlignment="1">
      <alignment horizontal="center" vertical="center" wrapText="1"/>
    </xf>
    <xf numFmtId="0" fontId="2" fillId="0" borderId="48" xfId="0" applyFont="1" applyBorder="1" applyAlignment="1">
      <alignment vertical="center" wrapText="1"/>
    </xf>
    <xf numFmtId="4" fontId="2" fillId="0" borderId="51" xfId="0" applyNumberFormat="1" applyFont="1" applyBorder="1" applyAlignment="1">
      <alignment horizontal="center" vertical="center" wrapText="1"/>
    </xf>
    <xf numFmtId="49" fontId="3" fillId="0" borderId="43" xfId="0" applyNumberFormat="1" applyFont="1" applyBorder="1" applyAlignment="1">
      <alignment horizontal="center" vertical="center" wrapText="1"/>
    </xf>
    <xf numFmtId="0" fontId="3" fillId="0" borderId="48" xfId="0" applyFont="1" applyBorder="1" applyAlignment="1">
      <alignment vertical="top" wrapText="1"/>
    </xf>
    <xf numFmtId="0" fontId="8" fillId="0" borderId="49" xfId="0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56" xfId="0" applyNumberFormat="1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4" fontId="3" fillId="0" borderId="58" xfId="0" applyNumberFormat="1" applyFont="1" applyBorder="1" applyAlignment="1">
      <alignment horizontal="center" vertical="center" wrapText="1"/>
    </xf>
    <xf numFmtId="4" fontId="3" fillId="0" borderId="59" xfId="0" applyNumberFormat="1" applyFont="1" applyBorder="1" applyAlignment="1">
      <alignment horizontal="center" vertical="center" wrapText="1"/>
    </xf>
    <xf numFmtId="4" fontId="3" fillId="0" borderId="60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3" fillId="0" borderId="9" xfId="0" applyFont="1" applyBorder="1" applyAlignment="1">
      <alignment horizontal="right" vertical="center" wrapText="1"/>
    </xf>
    <xf numFmtId="4" fontId="2" fillId="0" borderId="37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10" xfId="0" applyFont="1" applyBorder="1" applyAlignment="1">
      <alignment horizontal="right" vertical="center" wrapText="1"/>
    </xf>
    <xf numFmtId="0" fontId="2" fillId="0" borderId="10" xfId="0" applyFont="1" applyBorder="1" applyAlignment="1">
      <alignment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61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3" fontId="2" fillId="0" borderId="0" xfId="1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4" fontId="3" fillId="0" borderId="6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4" fontId="2" fillId="0" borderId="46" xfId="0" applyNumberFormat="1" applyFont="1" applyBorder="1" applyAlignment="1">
      <alignment vertical="center" wrapText="1"/>
    </xf>
    <xf numFmtId="4" fontId="13" fillId="0" borderId="17" xfId="0" applyNumberFormat="1" applyFont="1" applyBorder="1" applyAlignment="1">
      <alignment horizontal="center" vertical="center" wrapText="1"/>
    </xf>
    <xf numFmtId="4" fontId="3" fillId="0" borderId="63" xfId="0" applyNumberFormat="1" applyFont="1" applyBorder="1" applyAlignment="1">
      <alignment horizontal="center" vertical="center" wrapText="1"/>
    </xf>
    <xf numFmtId="49" fontId="15" fillId="0" borderId="15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49" fontId="15" fillId="0" borderId="27" xfId="0" applyNumberFormat="1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49" fontId="8" fillId="0" borderId="43" xfId="0" applyNumberFormat="1" applyFont="1" applyBorder="1" applyAlignment="1">
      <alignment horizontal="center" vertical="center" wrapText="1"/>
    </xf>
    <xf numFmtId="49" fontId="15" fillId="0" borderId="43" xfId="0" applyNumberFormat="1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" fontId="3" fillId="0" borderId="55" xfId="0" applyNumberFormat="1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0" fontId="8" fillId="0" borderId="61" xfId="0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 wrapText="1"/>
    </xf>
    <xf numFmtId="49" fontId="15" fillId="0" borderId="42" xfId="0" applyNumberFormat="1" applyFont="1" applyBorder="1" applyAlignment="1">
      <alignment horizontal="center" vertical="center" wrapText="1"/>
    </xf>
    <xf numFmtId="49" fontId="8" fillId="0" borderId="42" xfId="0" applyNumberFormat="1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43" xfId="0" applyNumberFormat="1" applyFont="1" applyBorder="1" applyAlignment="1">
      <alignment horizontal="left" vertical="center" wrapText="1"/>
    </xf>
    <xf numFmtId="49" fontId="3" fillId="0" borderId="63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43" xfId="0" applyNumberFormat="1" applyFont="1" applyBorder="1" applyAlignment="1">
      <alignment horizontal="left" vertical="center" wrapText="1"/>
    </xf>
    <xf numFmtId="0" fontId="3" fillId="0" borderId="62" xfId="0" applyFont="1" applyBorder="1" applyAlignment="1">
      <alignment horizontal="center" vertical="center" wrapText="1"/>
    </xf>
    <xf numFmtId="49" fontId="3" fillId="0" borderId="6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15" fillId="0" borderId="61" xfId="0" applyNumberFormat="1" applyFont="1" applyBorder="1" applyAlignment="1">
      <alignment horizontal="center" vertical="center" wrapText="1"/>
    </xf>
    <xf numFmtId="4" fontId="3" fillId="0" borderId="61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9" fontId="15" fillId="0" borderId="16" xfId="0" applyNumberFormat="1" applyFont="1" applyBorder="1" applyAlignment="1">
      <alignment horizontal="center" vertical="center" wrapText="1"/>
    </xf>
    <xf numFmtId="4" fontId="3" fillId="0" borderId="47" xfId="0" applyNumberFormat="1" applyFont="1" applyFill="1" applyBorder="1" applyAlignment="1">
      <alignment horizontal="center" vertical="center" wrapText="1"/>
    </xf>
    <xf numFmtId="4" fontId="2" fillId="0" borderId="47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9" fontId="4" fillId="0" borderId="0" xfId="0" applyNumberFormat="1" applyFont="1" applyAlignment="1">
      <alignment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4" fontId="13" fillId="3" borderId="17" xfId="0" applyNumberFormat="1" applyFont="1" applyFill="1" applyBorder="1" applyAlignment="1">
      <alignment horizontal="center" vertical="center" wrapText="1"/>
    </xf>
    <xf numFmtId="4" fontId="3" fillId="3" borderId="19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4" fontId="2" fillId="3" borderId="19" xfId="0" applyNumberFormat="1" applyFont="1" applyFill="1" applyBorder="1" applyAlignment="1">
      <alignment horizontal="center" vertical="center" wrapText="1"/>
    </xf>
    <xf numFmtId="49" fontId="3" fillId="0" borderId="67" xfId="0" applyNumberFormat="1" applyFont="1" applyBorder="1" applyAlignment="1">
      <alignment horizontal="center" vertical="center" wrapText="1"/>
    </xf>
    <xf numFmtId="49" fontId="2" fillId="0" borderId="67" xfId="0" applyNumberFormat="1" applyFont="1" applyBorder="1" applyAlignment="1">
      <alignment horizontal="center" vertical="center" wrapText="1"/>
    </xf>
    <xf numFmtId="49" fontId="3" fillId="3" borderId="67" xfId="0" applyNumberFormat="1" applyFont="1" applyFill="1" applyBorder="1" applyAlignment="1">
      <alignment horizontal="center" vertical="center" wrapText="1"/>
    </xf>
    <xf numFmtId="49" fontId="2" fillId="3" borderId="67" xfId="0" applyNumberFormat="1" applyFont="1" applyFill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left" vertical="center" wrapText="1"/>
    </xf>
    <xf numFmtId="0" fontId="3" fillId="0" borderId="67" xfId="0" applyFont="1" applyBorder="1" applyAlignment="1">
      <alignment vertical="center" wrapText="1"/>
    </xf>
    <xf numFmtId="0" fontId="3" fillId="0" borderId="61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3" fillId="3" borderId="67" xfId="0" applyFont="1" applyFill="1" applyBorder="1" applyAlignment="1">
      <alignment horizontal="center" vertical="center" wrapText="1"/>
    </xf>
    <xf numFmtId="0" fontId="2" fillId="3" borderId="67" xfId="0" applyFont="1" applyFill="1" applyBorder="1" applyAlignment="1">
      <alignment horizontal="center" vertical="center" wrapText="1"/>
    </xf>
    <xf numFmtId="0" fontId="3" fillId="0" borderId="62" xfId="0" applyFont="1" applyBorder="1" applyAlignment="1">
      <alignment horizontal="left" vertical="center" wrapText="1"/>
    </xf>
    <xf numFmtId="0" fontId="3" fillId="0" borderId="67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0" fontId="3" fillId="3" borderId="67" xfId="0" applyFont="1" applyFill="1" applyBorder="1" applyAlignment="1">
      <alignment horizontal="left" vertical="center" wrapText="1"/>
    </xf>
    <xf numFmtId="0" fontId="2" fillId="3" borderId="67" xfId="0" applyFont="1" applyFill="1" applyBorder="1" applyAlignment="1">
      <alignment horizontal="left" vertical="center" wrapText="1"/>
    </xf>
    <xf numFmtId="0" fontId="3" fillId="0" borderId="61" xfId="0" applyFont="1" applyBorder="1" applyAlignment="1">
      <alignment vertical="center" wrapText="1"/>
    </xf>
    <xf numFmtId="4" fontId="3" fillId="0" borderId="67" xfId="0" applyNumberFormat="1" applyFont="1" applyBorder="1" applyAlignment="1">
      <alignment horizontal="center" vertical="center" wrapText="1"/>
    </xf>
    <xf numFmtId="4" fontId="2" fillId="0" borderId="67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4" fontId="3" fillId="3" borderId="67" xfId="0" applyNumberFormat="1" applyFont="1" applyFill="1" applyBorder="1" applyAlignment="1">
      <alignment horizontal="center" vertical="center" wrapText="1"/>
    </xf>
    <xf numFmtId="4" fontId="2" fillId="3" borderId="67" xfId="0" applyNumberFormat="1" applyFont="1" applyFill="1" applyBorder="1" applyAlignment="1">
      <alignment horizontal="center" vertical="center" wrapText="1"/>
    </xf>
    <xf numFmtId="4" fontId="2" fillId="0" borderId="63" xfId="0" applyNumberFormat="1" applyFont="1" applyBorder="1" applyAlignment="1">
      <alignment horizontal="center" vertical="center" wrapText="1"/>
    </xf>
    <xf numFmtId="4" fontId="3" fillId="3" borderId="63" xfId="0" applyNumberFormat="1" applyFont="1" applyFill="1" applyBorder="1" applyAlignment="1">
      <alignment horizontal="center" vertical="center" wrapText="1"/>
    </xf>
    <xf numFmtId="4" fontId="2" fillId="3" borderId="63" xfId="0" applyNumberFormat="1" applyFont="1" applyFill="1" applyBorder="1" applyAlignment="1">
      <alignment horizontal="center" vertical="center" wrapText="1"/>
    </xf>
    <xf numFmtId="4" fontId="2" fillId="3" borderId="46" xfId="0" applyNumberFormat="1" applyFont="1" applyFill="1" applyBorder="1" applyAlignment="1">
      <alignment horizontal="center" vertical="center" wrapText="1"/>
    </xf>
    <xf numFmtId="0" fontId="2" fillId="0" borderId="63" xfId="0" applyFont="1" applyBorder="1" applyAlignment="1">
      <alignment vertical="center" wrapText="1"/>
    </xf>
    <xf numFmtId="49" fontId="2" fillId="0" borderId="63" xfId="0" applyNumberFormat="1" applyFont="1" applyBorder="1" applyAlignment="1">
      <alignment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49" fontId="2" fillId="5" borderId="5" xfId="0" applyNumberFormat="1" applyFont="1" applyFill="1" applyBorder="1" applyAlignment="1">
      <alignment horizontal="center" vertical="center" wrapText="1"/>
    </xf>
    <xf numFmtId="49" fontId="15" fillId="5" borderId="8" xfId="0" applyNumberFormat="1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4" fontId="3" fillId="5" borderId="37" xfId="0" applyNumberFormat="1" applyFont="1" applyFill="1" applyBorder="1" applyAlignment="1">
      <alignment horizontal="center" vertical="center" wrapText="1"/>
    </xf>
    <xf numFmtId="4" fontId="3" fillId="5" borderId="38" xfId="0" applyNumberFormat="1" applyFont="1" applyFill="1" applyBorder="1" applyAlignment="1">
      <alignment horizontal="center" vertical="center" wrapText="1"/>
    </xf>
    <xf numFmtId="4" fontId="3" fillId="5" borderId="39" xfId="0" applyNumberFormat="1" applyFont="1" applyFill="1" applyBorder="1" applyAlignment="1">
      <alignment horizontal="center" vertical="center" wrapText="1"/>
    </xf>
    <xf numFmtId="4" fontId="3" fillId="5" borderId="40" xfId="0" applyNumberFormat="1" applyFont="1" applyFill="1" applyBorder="1" applyAlignment="1">
      <alignment horizontal="center" vertical="center" wrapText="1"/>
    </xf>
    <xf numFmtId="49" fontId="3" fillId="5" borderId="64" xfId="0" applyNumberFormat="1" applyFont="1" applyFill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vertical="center" wrapText="1"/>
    </xf>
    <xf numFmtId="0" fontId="3" fillId="5" borderId="12" xfId="0" applyFont="1" applyFill="1" applyBorder="1" applyAlignment="1">
      <alignment vertical="center"/>
    </xf>
    <xf numFmtId="0" fontId="3" fillId="5" borderId="9" xfId="0" applyFont="1" applyFill="1" applyBorder="1" applyAlignment="1">
      <alignment vertical="center"/>
    </xf>
    <xf numFmtId="0" fontId="6" fillId="0" borderId="29" xfId="0" applyFont="1" applyBorder="1" applyAlignment="1">
      <alignment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2" fillId="7" borderId="4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5" borderId="64" xfId="0" applyFont="1" applyFill="1" applyBorder="1" applyAlignment="1">
      <alignment vertical="center"/>
    </xf>
    <xf numFmtId="0" fontId="3" fillId="5" borderId="65" xfId="0" applyFont="1" applyFill="1" applyBorder="1" applyAlignment="1">
      <alignment vertical="center"/>
    </xf>
    <xf numFmtId="0" fontId="3" fillId="5" borderId="66" xfId="0" applyFont="1" applyFill="1" applyBorder="1" applyAlignment="1">
      <alignment vertical="center"/>
    </xf>
    <xf numFmtId="0" fontId="3" fillId="7" borderId="10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4" fontId="3" fillId="7" borderId="14" xfId="0" applyNumberFormat="1" applyFont="1" applyFill="1" applyBorder="1" applyAlignment="1">
      <alignment horizontal="center" vertical="center" wrapText="1"/>
    </xf>
    <xf numFmtId="0" fontId="2" fillId="7" borderId="41" xfId="0" applyFont="1" applyFill="1" applyBorder="1" applyAlignment="1">
      <alignment horizontal="center" vertical="center" wrapText="1"/>
    </xf>
    <xf numFmtId="0" fontId="3" fillId="7" borderId="41" xfId="0" applyFont="1" applyFill="1" applyBorder="1" applyAlignment="1">
      <alignment horizontal="center" vertical="center" wrapText="1"/>
    </xf>
    <xf numFmtId="4" fontId="2" fillId="7" borderId="41" xfId="0" applyNumberFormat="1" applyFont="1" applyFill="1" applyBorder="1" applyAlignment="1">
      <alignment horizontal="center" vertical="center" wrapText="1"/>
    </xf>
    <xf numFmtId="0" fontId="2" fillId="7" borderId="50" xfId="0" applyFont="1" applyFill="1" applyBorder="1" applyAlignment="1">
      <alignment horizontal="center" vertical="center" wrapText="1"/>
    </xf>
    <xf numFmtId="4" fontId="3" fillId="7" borderId="50" xfId="0" applyNumberFormat="1" applyFont="1" applyFill="1" applyBorder="1" applyAlignment="1">
      <alignment horizontal="center" vertical="center" wrapText="1"/>
    </xf>
    <xf numFmtId="4" fontId="2" fillId="7" borderId="50" xfId="0" applyNumberFormat="1" applyFont="1" applyFill="1" applyBorder="1" applyAlignment="1">
      <alignment horizontal="center" vertical="center" wrapText="1"/>
    </xf>
    <xf numFmtId="0" fontId="3" fillId="7" borderId="50" xfId="0" applyFont="1" applyFill="1" applyBorder="1" applyAlignment="1">
      <alignment horizontal="center" vertical="center" wrapText="1"/>
    </xf>
    <xf numFmtId="0" fontId="3" fillId="7" borderId="26" xfId="0" applyFont="1" applyFill="1" applyBorder="1" applyAlignment="1">
      <alignment horizontal="center" vertical="center" wrapText="1"/>
    </xf>
    <xf numFmtId="0" fontId="3" fillId="7" borderId="56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4" fontId="3" fillId="6" borderId="27" xfId="0" applyNumberFormat="1" applyFont="1" applyFill="1" applyBorder="1" applyAlignment="1">
      <alignment horizontal="center" vertical="center" wrapText="1"/>
    </xf>
    <xf numFmtId="2" fontId="3" fillId="6" borderId="43" xfId="0" applyNumberFormat="1" applyFont="1" applyFill="1" applyBorder="1" applyAlignment="1">
      <alignment horizontal="center" vertical="center" wrapText="1"/>
    </xf>
    <xf numFmtId="2" fontId="2" fillId="6" borderId="43" xfId="0" applyNumberFormat="1" applyFont="1" applyFill="1" applyBorder="1" applyAlignment="1">
      <alignment horizontal="center" vertical="center" wrapText="1"/>
    </xf>
    <xf numFmtId="0" fontId="2" fillId="6" borderId="43" xfId="0" applyFont="1" applyFill="1" applyBorder="1" applyAlignment="1">
      <alignment horizontal="center" vertical="center" wrapText="1"/>
    </xf>
    <xf numFmtId="0" fontId="3" fillId="6" borderId="43" xfId="0" applyFont="1" applyFill="1" applyBorder="1" applyAlignment="1">
      <alignment horizontal="center" vertical="center" wrapText="1"/>
    </xf>
    <xf numFmtId="164" fontId="2" fillId="6" borderId="43" xfId="0" applyNumberFormat="1" applyFont="1" applyFill="1" applyBorder="1" applyAlignment="1">
      <alignment horizontal="center" vertical="center" wrapText="1"/>
    </xf>
    <xf numFmtId="4" fontId="2" fillId="6" borderId="43" xfId="0" applyNumberFormat="1" applyFont="1" applyFill="1" applyBorder="1" applyAlignment="1">
      <alignment horizontal="center" vertical="center" wrapText="1"/>
    </xf>
    <xf numFmtId="0" fontId="2" fillId="6" borderId="49" xfId="0" applyFont="1" applyFill="1" applyBorder="1" applyAlignment="1">
      <alignment horizontal="center" vertical="center" wrapText="1"/>
    </xf>
    <xf numFmtId="4" fontId="3" fillId="6" borderId="49" xfId="0" applyNumberFormat="1" applyFont="1" applyFill="1" applyBorder="1" applyAlignment="1">
      <alignment horizontal="center" vertical="center" wrapText="1"/>
    </xf>
    <xf numFmtId="4" fontId="2" fillId="6" borderId="49" xfId="0" applyNumberFormat="1" applyFont="1" applyFill="1" applyBorder="1" applyAlignment="1">
      <alignment horizontal="center" vertical="center" wrapText="1"/>
    </xf>
    <xf numFmtId="0" fontId="3" fillId="6" borderId="49" xfId="0" applyFont="1" applyFill="1" applyBorder="1" applyAlignment="1">
      <alignment horizontal="center" vertical="center" wrapText="1"/>
    </xf>
    <xf numFmtId="0" fontId="3" fillId="6" borderId="5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2" fontId="3" fillId="6" borderId="49" xfId="0" applyNumberFormat="1" applyFont="1" applyFill="1" applyBorder="1" applyAlignment="1">
      <alignment horizontal="center" vertical="center" wrapText="1"/>
    </xf>
    <xf numFmtId="2" fontId="3" fillId="8" borderId="41" xfId="0" applyNumberFormat="1" applyFont="1" applyFill="1" applyBorder="1" applyAlignment="1">
      <alignment horizontal="center" vertical="center" wrapText="1"/>
    </xf>
    <xf numFmtId="2" fontId="2" fillId="8" borderId="41" xfId="0" applyNumberFormat="1" applyFont="1" applyFill="1" applyBorder="1" applyAlignment="1">
      <alignment horizontal="center" vertical="center" wrapText="1"/>
    </xf>
    <xf numFmtId="0" fontId="2" fillId="8" borderId="41" xfId="0" applyFont="1" applyFill="1" applyBorder="1" applyAlignment="1">
      <alignment horizontal="center" vertical="center" wrapText="1"/>
    </xf>
    <xf numFmtId="0" fontId="3" fillId="8" borderId="41" xfId="0" applyFont="1" applyFill="1" applyBorder="1" applyAlignment="1">
      <alignment horizontal="center" vertical="center" wrapText="1"/>
    </xf>
    <xf numFmtId="164" fontId="2" fillId="8" borderId="41" xfId="0" applyNumberFormat="1" applyFont="1" applyFill="1" applyBorder="1" applyAlignment="1">
      <alignment horizontal="center" vertical="center" wrapText="1"/>
    </xf>
    <xf numFmtId="4" fontId="2" fillId="8" borderId="41" xfId="0" applyNumberFormat="1" applyFont="1" applyFill="1" applyBorder="1" applyAlignment="1">
      <alignment horizontal="center" vertical="center" wrapText="1"/>
    </xf>
    <xf numFmtId="4" fontId="3" fillId="6" borderId="15" xfId="0" applyNumberFormat="1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4" fontId="3" fillId="6" borderId="4" xfId="0" applyNumberFormat="1" applyFont="1" applyFill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4" fontId="3" fillId="6" borderId="5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3" fillId="9" borderId="4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6" borderId="9" xfId="0" applyFont="1" applyFill="1" applyBorder="1" applyAlignment="1">
      <alignment vertical="center" wrapText="1"/>
    </xf>
    <xf numFmtId="4" fontId="2" fillId="6" borderId="15" xfId="0" applyNumberFormat="1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65" xfId="0" applyFont="1" applyFill="1" applyBorder="1" applyAlignment="1">
      <alignment horizontal="center" vertical="center" wrapText="1"/>
    </xf>
    <xf numFmtId="4" fontId="3" fillId="5" borderId="69" xfId="0" applyNumberFormat="1" applyFont="1" applyFill="1" applyBorder="1" applyAlignment="1">
      <alignment horizontal="center" vertical="center" wrapText="1"/>
    </xf>
    <xf numFmtId="4" fontId="3" fillId="5" borderId="70" xfId="0" applyNumberFormat="1" applyFont="1" applyFill="1" applyBorder="1" applyAlignment="1">
      <alignment horizontal="center" vertical="center" wrapText="1"/>
    </xf>
    <xf numFmtId="4" fontId="3" fillId="5" borderId="71" xfId="0" applyNumberFormat="1" applyFont="1" applyFill="1" applyBorder="1" applyAlignment="1">
      <alignment horizontal="center" vertical="center" wrapText="1"/>
    </xf>
    <xf numFmtId="4" fontId="3" fillId="5" borderId="72" xfId="0" applyNumberFormat="1" applyFont="1" applyFill="1" applyBorder="1" applyAlignment="1">
      <alignment horizontal="center" vertical="center" wrapText="1"/>
    </xf>
    <xf numFmtId="0" fontId="3" fillId="6" borderId="68" xfId="0" applyFont="1" applyFill="1" applyBorder="1" applyAlignment="1">
      <alignment horizontal="center" vertical="center" wrapText="1"/>
    </xf>
    <xf numFmtId="4" fontId="3" fillId="0" borderId="68" xfId="0" applyNumberFormat="1" applyFont="1" applyBorder="1" applyAlignment="1">
      <alignment horizontal="center" vertical="center" wrapText="1"/>
    </xf>
    <xf numFmtId="0" fontId="2" fillId="6" borderId="68" xfId="0" applyFont="1" applyFill="1" applyBorder="1" applyAlignment="1">
      <alignment horizontal="center" vertical="center" wrapText="1"/>
    </xf>
    <xf numFmtId="4" fontId="2" fillId="0" borderId="68" xfId="0" applyNumberFormat="1" applyFont="1" applyBorder="1" applyAlignment="1">
      <alignment horizontal="center" vertical="center" wrapText="1"/>
    </xf>
    <xf numFmtId="166" fontId="3" fillId="6" borderId="68" xfId="0" applyNumberFormat="1" applyFont="1" applyFill="1" applyBorder="1" applyAlignment="1">
      <alignment horizontal="center" vertical="center" wrapText="1"/>
    </xf>
    <xf numFmtId="0" fontId="3" fillId="5" borderId="66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3" fillId="7" borderId="44" xfId="0" applyFont="1" applyFill="1" applyBorder="1" applyAlignment="1">
      <alignment horizontal="center" vertical="center" wrapText="1"/>
    </xf>
    <xf numFmtId="0" fontId="2" fillId="7" borderId="44" xfId="0" applyFont="1" applyFill="1" applyBorder="1" applyAlignment="1">
      <alignment horizontal="center" vertical="center" wrapText="1"/>
    </xf>
    <xf numFmtId="0" fontId="3" fillId="8" borderId="44" xfId="0" applyFont="1" applyFill="1" applyBorder="1" applyAlignment="1">
      <alignment horizontal="center" vertical="center" wrapText="1"/>
    </xf>
    <xf numFmtId="166" fontId="2" fillId="6" borderId="68" xfId="0" applyNumberFormat="1" applyFont="1" applyFill="1" applyBorder="1" applyAlignment="1">
      <alignment horizontal="center" vertical="center" wrapText="1"/>
    </xf>
    <xf numFmtId="0" fontId="3" fillId="0" borderId="43" xfId="0" applyFont="1" applyBorder="1" applyAlignment="1">
      <alignment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 wrapText="1"/>
    </xf>
    <xf numFmtId="49" fontId="15" fillId="0" borderId="68" xfId="0" applyNumberFormat="1" applyFont="1" applyBorder="1" applyAlignment="1">
      <alignment horizontal="center" vertical="center" wrapText="1"/>
    </xf>
    <xf numFmtId="0" fontId="3" fillId="0" borderId="68" xfId="0" applyFont="1" applyBorder="1" applyAlignment="1">
      <alignment horizontal="left" vertical="center" wrapText="1"/>
    </xf>
    <xf numFmtId="0" fontId="6" fillId="0" borderId="68" xfId="0" applyFont="1" applyBorder="1" applyAlignment="1">
      <alignment vertical="center" wrapText="1"/>
    </xf>
    <xf numFmtId="0" fontId="3" fillId="0" borderId="68" xfId="0" applyFont="1" applyBorder="1" applyAlignment="1">
      <alignment vertical="center" wrapText="1"/>
    </xf>
    <xf numFmtId="0" fontId="8" fillId="0" borderId="68" xfId="0" applyFont="1" applyBorder="1" applyAlignment="1">
      <alignment horizontal="center" vertical="center" wrapText="1"/>
    </xf>
    <xf numFmtId="0" fontId="2" fillId="0" borderId="68" xfId="0" applyFont="1" applyBorder="1" applyAlignment="1">
      <alignment vertical="center" wrapText="1"/>
    </xf>
    <xf numFmtId="0" fontId="15" fillId="0" borderId="68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vertical="center" wrapText="1"/>
    </xf>
    <xf numFmtId="4" fontId="2" fillId="0" borderId="68" xfId="0" applyNumberFormat="1" applyFont="1" applyFill="1" applyBorder="1" applyAlignment="1">
      <alignment horizontal="center" vertical="center" wrapText="1"/>
    </xf>
    <xf numFmtId="4" fontId="3" fillId="0" borderId="68" xfId="0" applyNumberFormat="1" applyFont="1" applyFill="1" applyBorder="1" applyAlignment="1">
      <alignment horizontal="center" vertical="center" wrapText="1"/>
    </xf>
    <xf numFmtId="49" fontId="8" fillId="0" borderId="68" xfId="0" applyNumberFormat="1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vertical="center" wrapText="1"/>
    </xf>
    <xf numFmtId="49" fontId="15" fillId="0" borderId="68" xfId="0" applyNumberFormat="1" applyFont="1" applyFill="1" applyBorder="1" applyAlignment="1">
      <alignment horizontal="center" vertical="center" wrapText="1"/>
    </xf>
    <xf numFmtId="49" fontId="3" fillId="0" borderId="68" xfId="0" applyNumberFormat="1" applyFont="1" applyFill="1" applyBorder="1" applyAlignment="1">
      <alignment horizontal="left" vertical="center" wrapText="1"/>
    </xf>
    <xf numFmtId="49" fontId="2" fillId="0" borderId="68" xfId="0" applyNumberFormat="1" applyFont="1" applyFill="1" applyBorder="1" applyAlignment="1">
      <alignment horizontal="left" vertical="center" wrapText="1"/>
    </xf>
    <xf numFmtId="0" fontId="7" fillId="0" borderId="68" xfId="0" applyFont="1" applyFill="1" applyBorder="1" applyAlignment="1">
      <alignment vertical="center" wrapText="1"/>
    </xf>
    <xf numFmtId="0" fontId="3" fillId="0" borderId="68" xfId="0" applyFont="1" applyFill="1" applyBorder="1" applyAlignment="1">
      <alignment vertical="top" wrapText="1"/>
    </xf>
    <xf numFmtId="0" fontId="8" fillId="0" borderId="68" xfId="0" applyFont="1" applyFill="1" applyBorder="1" applyAlignment="1">
      <alignment horizontal="center" vertical="center" wrapText="1"/>
    </xf>
    <xf numFmtId="49" fontId="15" fillId="5" borderId="74" xfId="0" applyNumberFormat="1" applyFont="1" applyFill="1" applyBorder="1" applyAlignment="1">
      <alignment horizontal="center" vertical="center" wrapText="1"/>
    </xf>
    <xf numFmtId="0" fontId="3" fillId="5" borderId="74" xfId="0" applyFont="1" applyFill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15" fillId="0" borderId="75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1" borderId="43" xfId="0" applyFont="1" applyFill="1" applyBorder="1" applyAlignment="1">
      <alignment horizontal="center" vertical="center" wrapText="1"/>
    </xf>
    <xf numFmtId="0" fontId="2" fillId="11" borderId="43" xfId="0" applyFont="1" applyFill="1" applyBorder="1" applyAlignment="1">
      <alignment horizontal="center" vertical="center" wrapText="1"/>
    </xf>
    <xf numFmtId="4" fontId="3" fillId="11" borderId="43" xfId="0" applyNumberFormat="1" applyFont="1" applyFill="1" applyBorder="1" applyAlignment="1">
      <alignment horizontal="center" vertical="center" wrapText="1"/>
    </xf>
    <xf numFmtId="2" fontId="3" fillId="11" borderId="43" xfId="0" applyNumberFormat="1" applyFont="1" applyFill="1" applyBorder="1" applyAlignment="1">
      <alignment horizontal="center" vertical="center" wrapText="1"/>
    </xf>
    <xf numFmtId="165" fontId="3" fillId="11" borderId="43" xfId="0" applyNumberFormat="1" applyFont="1" applyFill="1" applyBorder="1" applyAlignment="1">
      <alignment horizontal="center" vertical="center" wrapText="1"/>
    </xf>
    <xf numFmtId="2" fontId="2" fillId="11" borderId="43" xfId="0" applyNumberFormat="1" applyFont="1" applyFill="1" applyBorder="1" applyAlignment="1">
      <alignment horizontal="center" vertical="center" wrapText="1"/>
    </xf>
    <xf numFmtId="164" fontId="2" fillId="11" borderId="43" xfId="0" applyNumberFormat="1" applyFont="1" applyFill="1" applyBorder="1" applyAlignment="1">
      <alignment horizontal="center" vertical="center" wrapText="1"/>
    </xf>
    <xf numFmtId="0" fontId="2" fillId="11" borderId="57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2" fontId="3" fillId="6" borderId="46" xfId="0" applyNumberFormat="1" applyFont="1" applyFill="1" applyBorder="1" applyAlignment="1">
      <alignment horizontal="center" vertical="center" wrapText="1"/>
    </xf>
    <xf numFmtId="166" fontId="3" fillId="6" borderId="46" xfId="0" applyNumberFormat="1" applyFont="1" applyFill="1" applyBorder="1" applyAlignment="1">
      <alignment horizontal="center" vertical="center" wrapText="1"/>
    </xf>
    <xf numFmtId="166" fontId="2" fillId="6" borderId="46" xfId="0" applyNumberFormat="1" applyFont="1" applyFill="1" applyBorder="1" applyAlignment="1">
      <alignment horizontal="center" vertical="center" wrapText="1"/>
    </xf>
    <xf numFmtId="167" fontId="3" fillId="6" borderId="46" xfId="0" applyNumberFormat="1" applyFont="1" applyFill="1" applyBorder="1" applyAlignment="1">
      <alignment horizontal="center" vertical="center" wrapText="1"/>
    </xf>
    <xf numFmtId="0" fontId="3" fillId="6" borderId="46" xfId="0" applyFont="1" applyFill="1" applyBorder="1" applyAlignment="1">
      <alignment horizontal="center" vertical="center" wrapText="1"/>
    </xf>
    <xf numFmtId="4" fontId="3" fillId="6" borderId="46" xfId="0" applyNumberFormat="1" applyFont="1" applyFill="1" applyBorder="1" applyAlignment="1">
      <alignment horizontal="center" vertical="center" wrapText="1"/>
    </xf>
    <xf numFmtId="165" fontId="3" fillId="6" borderId="46" xfId="0" applyNumberFormat="1" applyFont="1" applyFill="1" applyBorder="1" applyAlignment="1">
      <alignment horizontal="center" vertical="center" wrapText="1"/>
    </xf>
    <xf numFmtId="2" fontId="2" fillId="6" borderId="46" xfId="0" applyNumberFormat="1" applyFont="1" applyFill="1" applyBorder="1" applyAlignment="1">
      <alignment horizontal="center" vertical="center" wrapText="1"/>
    </xf>
    <xf numFmtId="0" fontId="2" fillId="6" borderId="46" xfId="0" applyFont="1" applyFill="1" applyBorder="1" applyAlignment="1">
      <alignment horizontal="center" vertical="center" wrapText="1"/>
    </xf>
    <xf numFmtId="164" fontId="2" fillId="6" borderId="46" xfId="0" applyNumberFormat="1" applyFont="1" applyFill="1" applyBorder="1" applyAlignment="1">
      <alignment horizontal="center" vertical="center" wrapText="1"/>
    </xf>
    <xf numFmtId="0" fontId="2" fillId="6" borderId="60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9" fontId="3" fillId="0" borderId="46" xfId="0" applyNumberFormat="1" applyFont="1" applyBorder="1" applyAlignment="1">
      <alignment horizontal="center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49" fontId="2" fillId="0" borderId="46" xfId="0" applyNumberFormat="1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49" fontId="2" fillId="0" borderId="46" xfId="0" applyNumberFormat="1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49" fontId="3" fillId="0" borderId="47" xfId="0" applyNumberFormat="1" applyFont="1" applyFill="1" applyBorder="1" applyAlignment="1">
      <alignment horizontal="center" vertical="center" wrapText="1"/>
    </xf>
    <xf numFmtId="49" fontId="2" fillId="0" borderId="47" xfId="0" applyNumberFormat="1" applyFont="1" applyFill="1" applyBorder="1" applyAlignment="1">
      <alignment horizontal="center" vertical="center" wrapText="1"/>
    </xf>
    <xf numFmtId="49" fontId="2" fillId="0" borderId="60" xfId="0" applyNumberFormat="1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vertical="center" wrapText="1"/>
    </xf>
    <xf numFmtId="49" fontId="2" fillId="5" borderId="31" xfId="0" applyNumberFormat="1" applyFont="1" applyFill="1" applyBorder="1" applyAlignment="1">
      <alignment horizontal="center" vertical="center" wrapText="1"/>
    </xf>
    <xf numFmtId="49" fontId="15" fillId="5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0" fontId="3" fillId="5" borderId="31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 wrapText="1"/>
    </xf>
    <xf numFmtId="0" fontId="3" fillId="0" borderId="6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11" borderId="57" xfId="0" applyFont="1" applyFill="1" applyBorder="1" applyAlignment="1">
      <alignment horizontal="center" vertical="center" wrapText="1"/>
    </xf>
    <xf numFmtId="0" fontId="3" fillId="6" borderId="60" xfId="0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vertical="center" wrapText="1"/>
    </xf>
    <xf numFmtId="0" fontId="8" fillId="0" borderId="74" xfId="0" applyFont="1" applyFill="1" applyBorder="1" applyAlignment="1">
      <alignment vertical="center" wrapText="1"/>
    </xf>
    <xf numFmtId="0" fontId="3" fillId="0" borderId="74" xfId="0" applyFont="1" applyFill="1" applyBorder="1" applyAlignment="1">
      <alignment horizontal="right" vertical="center" wrapText="1"/>
    </xf>
    <xf numFmtId="0" fontId="2" fillId="0" borderId="20" xfId="0" applyFont="1" applyFill="1" applyBorder="1" applyAlignment="1">
      <alignment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4" fontId="2" fillId="0" borderId="74" xfId="0" applyNumberFormat="1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4" fontId="3" fillId="5" borderId="2" xfId="0" applyNumberFormat="1" applyFont="1" applyFill="1" applyBorder="1" applyAlignment="1">
      <alignment horizontal="center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9" fontId="3" fillId="0" borderId="60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49" fontId="3" fillId="5" borderId="19" xfId="0" applyNumberFormat="1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vertical="center"/>
    </xf>
    <xf numFmtId="0" fontId="3" fillId="5" borderId="15" xfId="0" applyFont="1" applyFill="1" applyBorder="1" applyAlignment="1">
      <alignment vertical="center"/>
    </xf>
    <xf numFmtId="0" fontId="3" fillId="5" borderId="19" xfId="0" applyFont="1" applyFill="1" applyBorder="1" applyAlignment="1">
      <alignment vertical="center"/>
    </xf>
    <xf numFmtId="49" fontId="2" fillId="0" borderId="60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" fontId="2" fillId="6" borderId="68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67" xfId="0" applyFont="1" applyBorder="1" applyAlignment="1">
      <alignment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4" fontId="13" fillId="0" borderId="44" xfId="0" applyNumberFormat="1" applyFon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49" fontId="3" fillId="4" borderId="15" xfId="0" applyNumberFormat="1" applyFont="1" applyFill="1" applyBorder="1" applyAlignment="1">
      <alignment horizontal="center" vertical="center" wrapText="1"/>
    </xf>
    <xf numFmtId="49" fontId="3" fillId="4" borderId="67" xfId="0" applyNumberFormat="1" applyFont="1" applyFill="1" applyBorder="1" applyAlignment="1">
      <alignment horizontal="center" vertical="center" wrapText="1"/>
    </xf>
    <xf numFmtId="0" fontId="3" fillId="4" borderId="67" xfId="0" applyFont="1" applyFill="1" applyBorder="1" applyAlignment="1">
      <alignment horizontal="left" vertical="center" wrapText="1"/>
    </xf>
    <xf numFmtId="164" fontId="2" fillId="6" borderId="15" xfId="0" applyNumberFormat="1" applyFont="1" applyFill="1" applyBorder="1" applyAlignment="1">
      <alignment horizontal="center" vertical="center" wrapText="1"/>
    </xf>
    <xf numFmtId="3" fontId="2" fillId="6" borderId="15" xfId="0" applyNumberFormat="1" applyFont="1" applyFill="1" applyBorder="1" applyAlignment="1">
      <alignment horizontal="center" vertical="center" wrapText="1"/>
    </xf>
    <xf numFmtId="0" fontId="3" fillId="4" borderId="6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64" xfId="0" applyFont="1" applyFill="1" applyBorder="1" applyAlignment="1">
      <alignment vertical="center"/>
    </xf>
    <xf numFmtId="0" fontId="3" fillId="4" borderId="65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66" xfId="0" applyFont="1" applyFill="1" applyBorder="1" applyAlignment="1">
      <alignment vertical="center"/>
    </xf>
    <xf numFmtId="49" fontId="3" fillId="0" borderId="68" xfId="0" applyNumberFormat="1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4" fontId="3" fillId="6" borderId="68" xfId="0" applyNumberFormat="1" applyFont="1" applyFill="1" applyBorder="1" applyAlignment="1">
      <alignment horizontal="center" vertical="center" wrapText="1"/>
    </xf>
    <xf numFmtId="2" fontId="3" fillId="0" borderId="68" xfId="0" applyNumberFormat="1" applyFont="1" applyBorder="1" applyAlignment="1">
      <alignment horizontal="center" vertical="center" wrapText="1"/>
    </xf>
    <xf numFmtId="2" fontId="3" fillId="6" borderId="68" xfId="0" applyNumberFormat="1" applyFont="1" applyFill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7" fillId="0" borderId="68" xfId="0" applyFont="1" applyBorder="1" applyAlignment="1">
      <alignment vertical="center" wrapText="1"/>
    </xf>
    <xf numFmtId="49" fontId="2" fillId="0" borderId="68" xfId="0" applyNumberFormat="1" applyFont="1" applyBorder="1" applyAlignment="1">
      <alignment horizontal="center" vertical="center" wrapText="1"/>
    </xf>
    <xf numFmtId="0" fontId="3" fillId="4" borderId="68" xfId="0" applyFont="1" applyFill="1" applyBorder="1" applyAlignment="1">
      <alignment horizontal="center" vertical="center" wrapText="1"/>
    </xf>
    <xf numFmtId="49" fontId="8" fillId="0" borderId="68" xfId="0" applyNumberFormat="1" applyFont="1" applyBorder="1" applyAlignment="1">
      <alignment horizontal="center" vertical="center" wrapText="1"/>
    </xf>
    <xf numFmtId="0" fontId="4" fillId="0" borderId="68" xfId="0" applyFont="1" applyBorder="1" applyAlignment="1">
      <alignment vertical="center" wrapText="1"/>
    </xf>
    <xf numFmtId="0" fontId="2" fillId="0" borderId="68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6" borderId="68" xfId="0" applyFont="1" applyFill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6" borderId="68" xfId="0" applyFont="1" applyFill="1" applyBorder="1" applyAlignment="1">
      <alignment horizontal="center" vertical="center" wrapText="1"/>
    </xf>
    <xf numFmtId="49" fontId="3" fillId="0" borderId="68" xfId="0" applyNumberFormat="1" applyFont="1" applyBorder="1" applyAlignment="1">
      <alignment horizontal="left" vertical="center" wrapText="1"/>
    </xf>
    <xf numFmtId="3" fontId="3" fillId="6" borderId="68" xfId="0" applyNumberFormat="1" applyFont="1" applyFill="1" applyBorder="1" applyAlignment="1">
      <alignment horizontal="center" vertical="center" wrapText="1"/>
    </xf>
    <xf numFmtId="49" fontId="2" fillId="0" borderId="68" xfId="0" applyNumberFormat="1" applyFont="1" applyBorder="1" applyAlignment="1">
      <alignment horizontal="left" vertical="center" wrapText="1"/>
    </xf>
    <xf numFmtId="3" fontId="2" fillId="6" borderId="68" xfId="0" applyNumberFormat="1" applyFont="1" applyFill="1" applyBorder="1" applyAlignment="1">
      <alignment horizontal="center" vertical="center" wrapText="1"/>
    </xf>
    <xf numFmtId="4" fontId="13" fillId="0" borderId="68" xfId="0" applyNumberFormat="1" applyFont="1" applyBorder="1" applyAlignment="1">
      <alignment horizontal="center" vertical="center" wrapText="1"/>
    </xf>
    <xf numFmtId="0" fontId="2" fillId="0" borderId="68" xfId="0" applyFont="1" applyBorder="1" applyAlignment="1">
      <alignment horizontal="left" vertical="center" wrapText="1"/>
    </xf>
    <xf numFmtId="4" fontId="6" fillId="0" borderId="68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 applyProtection="1">
      <alignment horizontal="right" vertical="center"/>
      <protection locked="0"/>
    </xf>
    <xf numFmtId="0" fontId="19" fillId="0" borderId="0" xfId="0" applyFont="1"/>
    <xf numFmtId="0" fontId="5" fillId="0" borderId="0" xfId="0" applyFont="1" applyAlignment="1" applyProtection="1">
      <alignment horizontal="right" vertical="center"/>
      <protection locked="0"/>
    </xf>
    <xf numFmtId="2" fontId="5" fillId="0" borderId="0" xfId="0" applyNumberFormat="1" applyFont="1" applyAlignment="1" applyProtection="1">
      <alignment horizontal="right" vertical="center"/>
      <protection locked="0"/>
    </xf>
    <xf numFmtId="0" fontId="20" fillId="0" borderId="0" xfId="0" applyFont="1"/>
    <xf numFmtId="0" fontId="8" fillId="0" borderId="0" xfId="0" applyFont="1" applyAlignment="1" applyProtection="1">
      <alignment horizontal="right" vertical="center"/>
      <protection locked="0"/>
    </xf>
    <xf numFmtId="0" fontId="17" fillId="0" borderId="0" xfId="0" applyFont="1"/>
    <xf numFmtId="0" fontId="21" fillId="0" borderId="0" xfId="0" applyFont="1"/>
    <xf numFmtId="0" fontId="3" fillId="0" borderId="46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66" fontId="2" fillId="0" borderId="47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vertical="center"/>
    </xf>
    <xf numFmtId="2" fontId="22" fillId="0" borderId="0" xfId="0" applyNumberFormat="1" applyFont="1" applyAlignment="1">
      <alignment horizontal="left" vertical="center"/>
    </xf>
    <xf numFmtId="2" fontId="8" fillId="0" borderId="0" xfId="0" applyNumberFormat="1" applyFont="1" applyAlignment="1">
      <alignment horizontal="right" vertical="center"/>
    </xf>
    <xf numFmtId="2" fontId="23" fillId="0" borderId="0" xfId="0" applyNumberFormat="1" applyFont="1" applyAlignment="1">
      <alignment horizontal="center" vertical="center" wrapText="1"/>
    </xf>
    <xf numFmtId="2" fontId="22" fillId="0" borderId="0" xfId="0" applyNumberFormat="1" applyFont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2" fontId="8" fillId="0" borderId="0" xfId="0" applyNumberFormat="1" applyFont="1" applyAlignment="1">
      <alignment horizontal="center" vertical="center" wrapText="1"/>
    </xf>
    <xf numFmtId="2" fontId="23" fillId="0" borderId="0" xfId="0" applyNumberFormat="1" applyFont="1" applyAlignment="1">
      <alignment horizontal="right" vertical="center" wrapText="1"/>
    </xf>
    <xf numFmtId="0" fontId="22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/>
    </xf>
    <xf numFmtId="49" fontId="2" fillId="12" borderId="31" xfId="0" applyNumberFormat="1" applyFont="1" applyFill="1" applyBorder="1" applyAlignment="1">
      <alignment horizontal="center" vertical="center" wrapText="1"/>
    </xf>
    <xf numFmtId="49" fontId="15" fillId="12" borderId="2" xfId="0" applyNumberFormat="1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vertical="center"/>
    </xf>
    <xf numFmtId="0" fontId="3" fillId="12" borderId="3" xfId="0" applyFont="1" applyFill="1" applyBorder="1" applyAlignment="1">
      <alignment vertical="center" wrapText="1"/>
    </xf>
    <xf numFmtId="0" fontId="3" fillId="12" borderId="31" xfId="0" applyFont="1" applyFill="1" applyBorder="1" applyAlignment="1">
      <alignment horizontal="center" vertical="center" wrapText="1"/>
    </xf>
    <xf numFmtId="0" fontId="15" fillId="12" borderId="2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49" fontId="3" fillId="12" borderId="19" xfId="0" applyNumberFormat="1" applyFont="1" applyFill="1" applyBorder="1" applyAlignment="1">
      <alignment horizontal="center" vertical="center" wrapText="1"/>
    </xf>
    <xf numFmtId="49" fontId="15" fillId="12" borderId="74" xfId="0" applyNumberFormat="1" applyFont="1" applyFill="1" applyBorder="1" applyAlignment="1">
      <alignment horizontal="center" vertical="center" wrapText="1"/>
    </xf>
    <xf numFmtId="0" fontId="3" fillId="12" borderId="74" xfId="0" applyFont="1" applyFill="1" applyBorder="1" applyAlignment="1">
      <alignment vertical="center"/>
    </xf>
    <xf numFmtId="0" fontId="3" fillId="12" borderId="20" xfId="0" applyFont="1" applyFill="1" applyBorder="1" applyAlignment="1">
      <alignment vertical="center"/>
    </xf>
    <xf numFmtId="0" fontId="3" fillId="0" borderId="6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3" fillId="0" borderId="68" xfId="0" applyFont="1" applyBorder="1" applyAlignment="1">
      <alignment vertical="top" wrapText="1"/>
    </xf>
    <xf numFmtId="0" fontId="3" fillId="12" borderId="2" xfId="0" applyFont="1" applyFill="1" applyBorder="1" applyAlignment="1">
      <alignment vertical="center" wrapText="1"/>
    </xf>
    <xf numFmtId="2" fontId="2" fillId="0" borderId="47" xfId="0" applyNumberFormat="1" applyFont="1" applyFill="1" applyBorder="1" applyAlignment="1">
      <alignment horizontal="center" vertical="center" wrapText="1"/>
    </xf>
    <xf numFmtId="2" fontId="3" fillId="0" borderId="47" xfId="0" applyNumberFormat="1" applyFont="1" applyFill="1" applyBorder="1" applyAlignment="1">
      <alignment horizontal="center" vertical="center" wrapText="1"/>
    </xf>
    <xf numFmtId="164" fontId="2" fillId="0" borderId="47" xfId="0" applyNumberFormat="1" applyFont="1" applyFill="1" applyBorder="1" applyAlignment="1">
      <alignment horizontal="center" vertical="center" wrapText="1"/>
    </xf>
    <xf numFmtId="49" fontId="3" fillId="0" borderId="60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 wrapText="1"/>
    </xf>
    <xf numFmtId="0" fontId="7" fillId="0" borderId="73" xfId="0" applyFont="1" applyFill="1" applyBorder="1" applyAlignment="1">
      <alignment vertical="center" wrapText="1"/>
    </xf>
    <xf numFmtId="0" fontId="3" fillId="0" borderId="73" xfId="0" applyFont="1" applyFill="1" applyBorder="1" applyAlignment="1">
      <alignment horizontal="center" vertical="center" wrapText="1"/>
    </xf>
    <xf numFmtId="4" fontId="3" fillId="0" borderId="55" xfId="0" applyNumberFormat="1" applyFont="1" applyFill="1" applyBorder="1" applyAlignment="1">
      <alignment horizontal="center" vertical="center" wrapText="1"/>
    </xf>
    <xf numFmtId="0" fontId="3" fillId="12" borderId="19" xfId="0" applyFont="1" applyFill="1" applyBorder="1" applyAlignment="1">
      <alignment horizontal="center" vertical="center" wrapText="1"/>
    </xf>
    <xf numFmtId="0" fontId="15" fillId="12" borderId="74" xfId="0" applyFont="1" applyFill="1" applyBorder="1" applyAlignment="1">
      <alignment horizontal="center" vertical="center" wrapText="1"/>
    </xf>
    <xf numFmtId="0" fontId="3" fillId="12" borderId="74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49" fontId="3" fillId="12" borderId="31" xfId="0" applyNumberFormat="1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vertical="center"/>
    </xf>
    <xf numFmtId="0" fontId="3" fillId="0" borderId="68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49" fontId="8" fillId="0" borderId="46" xfId="0" applyNumberFormat="1" applyFont="1" applyFill="1" applyBorder="1" applyAlignment="1">
      <alignment horizontal="center" vertical="center" wrapText="1"/>
    </xf>
    <xf numFmtId="0" fontId="3" fillId="0" borderId="71" xfId="0" applyFont="1" applyFill="1" applyBorder="1" applyAlignment="1">
      <alignment horizontal="center" vertical="center" wrapText="1"/>
    </xf>
    <xf numFmtId="0" fontId="15" fillId="0" borderId="76" xfId="0" applyFont="1" applyFill="1" applyBorder="1" applyAlignment="1">
      <alignment horizontal="center" vertical="center" wrapText="1"/>
    </xf>
    <xf numFmtId="0" fontId="3" fillId="0" borderId="76" xfId="0" applyFont="1" applyFill="1" applyBorder="1" applyAlignment="1">
      <alignment horizontal="center" vertical="center" wrapText="1"/>
    </xf>
    <xf numFmtId="0" fontId="3" fillId="0" borderId="72" xfId="0" applyFont="1" applyFill="1" applyBorder="1" applyAlignment="1">
      <alignment horizontal="center" vertical="center" wrapText="1"/>
    </xf>
    <xf numFmtId="49" fontId="3" fillId="0" borderId="68" xfId="0" applyNumberFormat="1" applyFont="1" applyFill="1" applyBorder="1" applyAlignment="1">
      <alignment horizontal="center" vertical="center" wrapText="1"/>
    </xf>
    <xf numFmtId="49" fontId="2" fillId="0" borderId="68" xfId="0" applyNumberFormat="1" applyFont="1" applyFill="1" applyBorder="1" applyAlignment="1">
      <alignment horizontal="center" vertical="center" wrapText="1"/>
    </xf>
    <xf numFmtId="0" fontId="7" fillId="0" borderId="68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left" vertical="center" wrapText="1"/>
    </xf>
    <xf numFmtId="167" fontId="3" fillId="0" borderId="47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15" fillId="0" borderId="73" xfId="0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vertical="center" wrapText="1"/>
    </xf>
    <xf numFmtId="167" fontId="3" fillId="0" borderId="55" xfId="0" applyNumberFormat="1" applyFont="1" applyFill="1" applyBorder="1" applyAlignment="1">
      <alignment horizontal="center" vertical="center" wrapText="1"/>
    </xf>
    <xf numFmtId="0" fontId="3" fillId="12" borderId="20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3" fillId="0" borderId="53" xfId="0" applyNumberFormat="1" applyFont="1" applyFill="1" applyBorder="1" applyAlignment="1">
      <alignment horizontal="center" vertical="center" wrapText="1"/>
    </xf>
    <xf numFmtId="0" fontId="8" fillId="0" borderId="73" xfId="0" applyFont="1" applyFill="1" applyBorder="1" applyAlignment="1">
      <alignment horizontal="center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55" xfId="0" applyFont="1" applyFill="1" applyBorder="1" applyAlignment="1">
      <alignment horizontal="center" vertical="center" wrapText="1"/>
    </xf>
    <xf numFmtId="165" fontId="3" fillId="0" borderId="47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7" fontId="3" fillId="0" borderId="7" xfId="0" applyNumberFormat="1" applyFont="1" applyFill="1" applyBorder="1" applyAlignment="1">
      <alignment horizontal="center" vertical="center" wrapText="1"/>
    </xf>
    <xf numFmtId="49" fontId="15" fillId="0" borderId="73" xfId="0" applyNumberFormat="1" applyFont="1" applyFill="1" applyBorder="1" applyAlignment="1">
      <alignment horizontal="center" vertical="center" wrapText="1"/>
    </xf>
    <xf numFmtId="2" fontId="3" fillId="0" borderId="55" xfId="0" applyNumberFormat="1" applyFont="1" applyFill="1" applyBorder="1" applyAlignment="1">
      <alignment horizontal="center" vertical="center" wrapText="1"/>
    </xf>
    <xf numFmtId="49" fontId="2" fillId="0" borderId="60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5" fillId="0" borderId="0" xfId="2" applyFont="1" applyAlignment="1">
      <alignment vertical="center"/>
    </xf>
    <xf numFmtId="2" fontId="25" fillId="0" borderId="0" xfId="2" applyNumberFormat="1" applyFont="1" applyAlignment="1">
      <alignment horizontal="right" vertical="center"/>
    </xf>
    <xf numFmtId="0" fontId="25" fillId="0" borderId="0" xfId="2" applyFont="1" applyAlignment="1">
      <alignment horizontal="center" vertical="center"/>
    </xf>
    <xf numFmtId="2" fontId="8" fillId="0" borderId="0" xfId="2" applyNumberFormat="1" applyFont="1" applyAlignment="1">
      <alignment horizontal="right" vertical="center"/>
    </xf>
    <xf numFmtId="0" fontId="8" fillId="0" borderId="0" xfId="2" applyFont="1" applyAlignment="1">
      <alignment vertical="center"/>
    </xf>
    <xf numFmtId="0" fontId="22" fillId="0" borderId="0" xfId="2" applyFont="1"/>
    <xf numFmtId="0" fontId="22" fillId="0" borderId="16" xfId="2" applyFont="1" applyBorder="1"/>
    <xf numFmtId="0" fontId="25" fillId="0" borderId="10" xfId="2" applyFont="1" applyBorder="1" applyAlignment="1">
      <alignment vertical="center"/>
    </xf>
    <xf numFmtId="0" fontId="8" fillId="2" borderId="10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23" fillId="2" borderId="0" xfId="2" applyFont="1" applyFill="1" applyAlignment="1">
      <alignment horizontal="left" vertical="center" wrapText="1"/>
    </xf>
    <xf numFmtId="0" fontId="23" fillId="0" borderId="47" xfId="2" applyFont="1" applyBorder="1" applyAlignment="1">
      <alignment horizontal="center" vertical="center"/>
    </xf>
    <xf numFmtId="0" fontId="25" fillId="0" borderId="68" xfId="2" applyFont="1" applyBorder="1" applyAlignment="1">
      <alignment vertical="center"/>
    </xf>
    <xf numFmtId="0" fontId="23" fillId="0" borderId="68" xfId="2" applyFont="1" applyBorder="1" applyAlignment="1">
      <alignment horizontal="center" vertical="center"/>
    </xf>
    <xf numFmtId="0" fontId="23" fillId="0" borderId="68" xfId="2" applyFont="1" applyBorder="1" applyAlignment="1">
      <alignment horizontal="left" vertical="center" wrapText="1"/>
    </xf>
    <xf numFmtId="0" fontId="8" fillId="0" borderId="46" xfId="2" applyFont="1" applyBorder="1" applyAlignment="1">
      <alignment horizontal="center" vertical="center"/>
    </xf>
    <xf numFmtId="0" fontId="23" fillId="0" borderId="7" xfId="2" applyFont="1" applyBorder="1" applyAlignment="1">
      <alignment horizontal="center" vertical="center"/>
    </xf>
    <xf numFmtId="0" fontId="25" fillId="0" borderId="6" xfId="2" applyFont="1" applyBorder="1" applyAlignment="1">
      <alignment vertical="center"/>
    </xf>
    <xf numFmtId="0" fontId="23" fillId="0" borderId="6" xfId="2" applyFont="1" applyBorder="1" applyAlignment="1">
      <alignment horizontal="center" vertical="center"/>
    </xf>
    <xf numFmtId="0" fontId="23" fillId="0" borderId="6" xfId="2" applyFont="1" applyBorder="1" applyAlignment="1">
      <alignment horizontal="left" vertical="center" wrapText="1"/>
    </xf>
    <xf numFmtId="49" fontId="8" fillId="0" borderId="46" xfId="2" applyNumberFormat="1" applyFont="1" applyBorder="1" applyAlignment="1">
      <alignment horizontal="center" vertical="center" wrapText="1"/>
    </xf>
    <xf numFmtId="0" fontId="27" fillId="0" borderId="68" xfId="2" applyFont="1" applyBorder="1"/>
    <xf numFmtId="2" fontId="8" fillId="0" borderId="68" xfId="2" applyNumberFormat="1" applyFont="1" applyBorder="1" applyAlignment="1">
      <alignment vertical="center"/>
    </xf>
    <xf numFmtId="49" fontId="8" fillId="0" borderId="60" xfId="2" applyNumberFormat="1" applyFont="1" applyBorder="1" applyAlignment="1">
      <alignment horizontal="center" vertical="center" wrapText="1"/>
    </xf>
    <xf numFmtId="0" fontId="8" fillId="0" borderId="0" xfId="2" applyFont="1" applyAlignment="1" applyProtection="1">
      <alignment horizontal="center" vertical="center"/>
      <protection locked="0"/>
    </xf>
    <xf numFmtId="0" fontId="28" fillId="0" borderId="7" xfId="3" applyFont="1" applyBorder="1" applyAlignment="1">
      <alignment horizontal="center" vertical="center" wrapText="1"/>
    </xf>
    <xf numFmtId="0" fontId="8" fillId="0" borderId="0" xfId="2" applyFont="1" applyAlignment="1" applyProtection="1">
      <alignment vertical="center"/>
      <protection locked="0"/>
    </xf>
    <xf numFmtId="49" fontId="17" fillId="0" borderId="0" xfId="2" applyNumberFormat="1" applyFont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31" fillId="0" borderId="0" xfId="2" applyFont="1"/>
    <xf numFmtId="0" fontId="17" fillId="0" borderId="0" xfId="2" applyFont="1"/>
    <xf numFmtId="0" fontId="32" fillId="0" borderId="0" xfId="2" applyFont="1"/>
    <xf numFmtId="0" fontId="25" fillId="0" borderId="0" xfId="2" applyFont="1" applyAlignment="1" applyProtection="1">
      <alignment vertical="center"/>
      <protection locked="0"/>
    </xf>
    <xf numFmtId="0" fontId="25" fillId="0" borderId="0" xfId="2" applyFont="1" applyAlignment="1" applyProtection="1">
      <alignment horizontal="center" vertical="center"/>
      <protection locked="0"/>
    </xf>
    <xf numFmtId="0" fontId="33" fillId="0" borderId="0" xfId="2" applyFont="1" applyAlignment="1">
      <alignment vertical="center"/>
    </xf>
    <xf numFmtId="0" fontId="34" fillId="0" borderId="0" xfId="2" applyFont="1" applyAlignment="1">
      <alignment vertical="center"/>
    </xf>
    <xf numFmtId="0" fontId="22" fillId="0" borderId="0" xfId="4" applyFont="1" applyAlignment="1">
      <alignment horizontal="center"/>
    </xf>
    <xf numFmtId="0" fontId="22" fillId="0" borderId="10" xfId="4" applyFont="1" applyBorder="1"/>
    <xf numFmtId="0" fontId="22" fillId="0" borderId="0" xfId="4" applyFont="1"/>
    <xf numFmtId="0" fontId="23" fillId="0" borderId="68" xfId="2" applyFont="1" applyBorder="1" applyAlignment="1">
      <alignment horizontal="center" vertical="center" wrapText="1"/>
    </xf>
    <xf numFmtId="0" fontId="26" fillId="0" borderId="68" xfId="2" applyFont="1" applyBorder="1" applyAlignment="1">
      <alignment horizontal="left" vertical="center" wrapText="1"/>
    </xf>
    <xf numFmtId="2" fontId="23" fillId="0" borderId="47" xfId="2" applyNumberFormat="1" applyFont="1" applyBorder="1" applyAlignment="1">
      <alignment horizontal="center" vertical="center" wrapText="1"/>
    </xf>
    <xf numFmtId="2" fontId="23" fillId="0" borderId="68" xfId="2" applyNumberFormat="1" applyFont="1" applyBorder="1" applyAlignment="1">
      <alignment horizontal="right" vertical="center" wrapText="1"/>
    </xf>
    <xf numFmtId="2" fontId="23" fillId="0" borderId="68" xfId="2" applyNumberFormat="1" applyFont="1" applyBorder="1" applyAlignment="1">
      <alignment horizontal="center" vertical="center" wrapText="1"/>
    </xf>
    <xf numFmtId="49" fontId="8" fillId="0" borderId="68" xfId="2" applyNumberFormat="1" applyFont="1" applyBorder="1" applyAlignment="1">
      <alignment horizontal="center" vertical="center"/>
    </xf>
    <xf numFmtId="49" fontId="8" fillId="0" borderId="46" xfId="2" applyNumberFormat="1" applyFont="1" applyBorder="1" applyAlignment="1">
      <alignment horizontal="center" vertical="center"/>
    </xf>
    <xf numFmtId="0" fontId="23" fillId="0" borderId="6" xfId="2" applyFont="1" applyBorder="1" applyAlignment="1">
      <alignment horizontal="center" vertical="center" wrapText="1"/>
    </xf>
    <xf numFmtId="2" fontId="5" fillId="0" borderId="0" xfId="4" applyNumberFormat="1" applyFont="1" applyAlignment="1" applyProtection="1">
      <alignment horizontal="right" vertical="center"/>
      <protection locked="0"/>
    </xf>
    <xf numFmtId="0" fontId="8" fillId="0" borderId="0" xfId="4" applyFont="1" applyAlignment="1" applyProtection="1">
      <alignment horizontal="right" vertical="center"/>
      <protection locked="0"/>
    </xf>
    <xf numFmtId="0" fontId="5" fillId="0" borderId="0" xfId="4" applyFont="1" applyAlignment="1" applyProtection="1">
      <alignment horizontal="right" vertical="center"/>
      <protection locked="0"/>
    </xf>
    <xf numFmtId="0" fontId="18" fillId="0" borderId="0" xfId="4" applyFont="1" applyAlignment="1" applyProtection="1">
      <alignment horizontal="right" vertical="center"/>
      <protection locked="0"/>
    </xf>
    <xf numFmtId="0" fontId="35" fillId="0" borderId="0" xfId="0" applyFont="1"/>
    <xf numFmtId="49" fontId="35" fillId="2" borderId="0" xfId="0" applyNumberFormat="1" applyFont="1" applyFill="1"/>
    <xf numFmtId="0" fontId="35" fillId="2" borderId="0" xfId="0" applyFont="1" applyFill="1"/>
    <xf numFmtId="49" fontId="36" fillId="0" borderId="0" xfId="0" applyNumberFormat="1" applyFont="1" applyAlignment="1">
      <alignment vertical="center"/>
    </xf>
    <xf numFmtId="49" fontId="37" fillId="0" borderId="0" xfId="0" applyNumberFormat="1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7" fillId="7" borderId="68" xfId="0" applyFont="1" applyFill="1" applyBorder="1" applyAlignment="1">
      <alignment horizontal="center" vertical="center" wrapText="1"/>
    </xf>
    <xf numFmtId="43" fontId="35" fillId="0" borderId="68" xfId="1" applyFont="1" applyBorder="1"/>
    <xf numFmtId="43" fontId="43" fillId="0" borderId="68" xfId="1" applyFont="1" applyBorder="1"/>
    <xf numFmtId="0" fontId="3" fillId="12" borderId="30" xfId="0" applyFont="1" applyFill="1" applyBorder="1" applyAlignment="1">
      <alignment vertical="center" wrapText="1"/>
    </xf>
    <xf numFmtId="0" fontId="3" fillId="0" borderId="45" xfId="0" applyFont="1" applyFill="1" applyBorder="1" applyAlignment="1">
      <alignment horizontal="center" vertical="center" wrapText="1"/>
    </xf>
    <xf numFmtId="4" fontId="3" fillId="0" borderId="45" xfId="0" applyNumberFormat="1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4" fontId="3" fillId="0" borderId="52" xfId="0" applyNumberFormat="1" applyFont="1" applyFill="1" applyBorder="1" applyAlignment="1">
      <alignment horizontal="center" vertical="center" wrapText="1"/>
    </xf>
    <xf numFmtId="0" fontId="3" fillId="12" borderId="30" xfId="0" applyFont="1" applyFill="1" applyBorder="1" applyAlignment="1">
      <alignment horizontal="center" vertical="center" wrapText="1"/>
    </xf>
    <xf numFmtId="2" fontId="2" fillId="0" borderId="45" xfId="0" applyNumberFormat="1" applyFont="1" applyFill="1" applyBorder="1" applyAlignment="1">
      <alignment horizontal="center" vertical="center" wrapText="1"/>
    </xf>
    <xf numFmtId="2" fontId="3" fillId="0" borderId="45" xfId="0" applyNumberFormat="1" applyFont="1" applyFill="1" applyBorder="1" applyAlignment="1">
      <alignment horizontal="center" vertical="center" wrapText="1"/>
    </xf>
    <xf numFmtId="164" fontId="2" fillId="0" borderId="45" xfId="0" applyNumberFormat="1" applyFont="1" applyFill="1" applyBorder="1" applyAlignment="1">
      <alignment horizontal="center" vertical="center" wrapText="1"/>
    </xf>
    <xf numFmtId="4" fontId="2" fillId="0" borderId="45" xfId="0" applyNumberFormat="1" applyFont="1" applyFill="1" applyBorder="1" applyAlignment="1">
      <alignment horizontal="center" vertical="center" wrapText="1"/>
    </xf>
    <xf numFmtId="2" fontId="3" fillId="0" borderId="59" xfId="0" applyNumberFormat="1" applyFont="1" applyFill="1" applyBorder="1" applyAlignment="1">
      <alignment horizontal="center" vertical="center" wrapText="1"/>
    </xf>
    <xf numFmtId="166" fontId="2" fillId="0" borderId="45" xfId="0" applyNumberFormat="1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vertical="center"/>
    </xf>
    <xf numFmtId="0" fontId="3" fillId="0" borderId="59" xfId="0" applyFont="1" applyFill="1" applyBorder="1" applyAlignment="1">
      <alignment horizontal="center" vertical="center" wrapText="1"/>
    </xf>
    <xf numFmtId="0" fontId="3" fillId="12" borderId="31" xfId="0" applyFont="1" applyFill="1" applyBorder="1" applyAlignment="1">
      <alignment vertical="center" wrapText="1"/>
    </xf>
    <xf numFmtId="43" fontId="35" fillId="0" borderId="46" xfId="1" applyFont="1" applyBorder="1"/>
    <xf numFmtId="0" fontId="35" fillId="0" borderId="47" xfId="0" applyFont="1" applyBorder="1"/>
    <xf numFmtId="43" fontId="35" fillId="0" borderId="60" xfId="1" applyFont="1" applyBorder="1"/>
    <xf numFmtId="43" fontId="35" fillId="0" borderId="6" xfId="1" applyFont="1" applyBorder="1"/>
    <xf numFmtId="43" fontId="43" fillId="0" borderId="6" xfId="1" applyFont="1" applyBorder="1"/>
    <xf numFmtId="0" fontId="35" fillId="0" borderId="7" xfId="0" applyFont="1" applyBorder="1"/>
    <xf numFmtId="4" fontId="45" fillId="7" borderId="6" xfId="0" applyNumberFormat="1" applyFont="1" applyFill="1" applyBorder="1" applyAlignment="1">
      <alignment vertical="center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35" fillId="7" borderId="31" xfId="0" applyFont="1" applyFill="1" applyBorder="1"/>
    <xf numFmtId="0" fontId="35" fillId="7" borderId="2" xfId="0" applyFont="1" applyFill="1" applyBorder="1"/>
    <xf numFmtId="43" fontId="43" fillId="7" borderId="2" xfId="0" applyNumberFormat="1" applyFont="1" applyFill="1" applyBorder="1"/>
    <xf numFmtId="0" fontId="35" fillId="7" borderId="3" xfId="0" applyFont="1" applyFill="1" applyBorder="1"/>
    <xf numFmtId="0" fontId="35" fillId="7" borderId="60" xfId="0" applyFont="1" applyFill="1" applyBorder="1"/>
    <xf numFmtId="0" fontId="35" fillId="7" borderId="6" xfId="0" applyFont="1" applyFill="1" applyBorder="1"/>
    <xf numFmtId="169" fontId="35" fillId="7" borderId="6" xfId="0" applyNumberFormat="1" applyFont="1" applyFill="1" applyBorder="1"/>
    <xf numFmtId="0" fontId="35" fillId="7" borderId="7" xfId="0" applyFont="1" applyFill="1" applyBorder="1"/>
    <xf numFmtId="4" fontId="44" fillId="7" borderId="2" xfId="0" applyNumberFormat="1" applyFont="1" applyFill="1" applyBorder="1" applyAlignment="1">
      <alignment vertical="center" wrapText="1"/>
    </xf>
    <xf numFmtId="0" fontId="3" fillId="0" borderId="64" xfId="0" applyFont="1" applyFill="1" applyBorder="1" applyAlignment="1">
      <alignment horizontal="center" vertical="center" wrapText="1"/>
    </xf>
    <xf numFmtId="43" fontId="35" fillId="0" borderId="19" xfId="1" applyFont="1" applyBorder="1"/>
    <xf numFmtId="43" fontId="35" fillId="0" borderId="74" xfId="1" applyFont="1" applyBorder="1"/>
    <xf numFmtId="43" fontId="43" fillId="0" borderId="74" xfId="1" applyFont="1" applyBorder="1"/>
    <xf numFmtId="0" fontId="35" fillId="0" borderId="20" xfId="0" applyFont="1" applyBorder="1"/>
    <xf numFmtId="0" fontId="3" fillId="12" borderId="39" xfId="0" applyFont="1" applyFill="1" applyBorder="1" applyAlignment="1">
      <alignment vertical="center" wrapText="1"/>
    </xf>
    <xf numFmtId="0" fontId="3" fillId="12" borderId="75" xfId="0" applyFont="1" applyFill="1" applyBorder="1" applyAlignment="1">
      <alignment vertical="center" wrapText="1"/>
    </xf>
    <xf numFmtId="0" fontId="3" fillId="12" borderId="40" xfId="0" applyFont="1" applyFill="1" applyBorder="1" applyAlignment="1">
      <alignment vertical="center" wrapText="1"/>
    </xf>
    <xf numFmtId="49" fontId="3" fillId="0" borderId="73" xfId="0" applyNumberFormat="1" applyFont="1" applyFill="1" applyBorder="1" applyAlignment="1">
      <alignment horizontal="left" vertical="center" wrapText="1"/>
    </xf>
    <xf numFmtId="49" fontId="3" fillId="0" borderId="73" xfId="0" applyNumberFormat="1" applyFont="1" applyFill="1" applyBorder="1" applyAlignment="1">
      <alignment horizontal="center" vertical="center" wrapText="1"/>
    </xf>
    <xf numFmtId="43" fontId="35" fillId="0" borderId="53" xfId="1" applyFont="1" applyBorder="1"/>
    <xf numFmtId="43" fontId="35" fillId="0" borderId="73" xfId="1" applyFont="1" applyBorder="1"/>
    <xf numFmtId="43" fontId="43" fillId="0" borderId="73" xfId="1" applyFont="1" applyBorder="1"/>
    <xf numFmtId="0" fontId="35" fillId="0" borderId="55" xfId="0" applyFont="1" applyBorder="1"/>
    <xf numFmtId="0" fontId="35" fillId="7" borderId="29" xfId="0" applyFont="1" applyFill="1" applyBorder="1"/>
    <xf numFmtId="0" fontId="35" fillId="7" borderId="58" xfId="0" applyFont="1" applyFill="1" applyBorder="1"/>
    <xf numFmtId="0" fontId="41" fillId="0" borderId="0" xfId="0" applyFont="1" applyAlignment="1">
      <alignment horizontal="center"/>
    </xf>
    <xf numFmtId="49" fontId="40" fillId="0" borderId="0" xfId="6" applyNumberFormat="1" applyFont="1" applyAlignment="1">
      <alignment horizontal="center" vertical="center" wrapText="1"/>
    </xf>
    <xf numFmtId="49" fontId="41" fillId="0" borderId="0" xfId="6" applyNumberFormat="1" applyFont="1" applyAlignment="1">
      <alignment horizontal="center" vertical="top" wrapText="1"/>
    </xf>
    <xf numFmtId="49" fontId="35" fillId="0" borderId="0" xfId="6" applyNumberFormat="1" applyFont="1" applyAlignment="1">
      <alignment horizontal="center" vertical="top" wrapText="1"/>
    </xf>
    <xf numFmtId="0" fontId="37" fillId="7" borderId="68" xfId="0" applyFont="1" applyFill="1" applyBorder="1" applyAlignment="1">
      <alignment horizontal="center" vertical="center"/>
    </xf>
    <xf numFmtId="0" fontId="37" fillId="7" borderId="73" xfId="0" applyFont="1" applyFill="1" applyBorder="1" applyAlignment="1">
      <alignment horizontal="center" vertical="center" wrapText="1"/>
    </xf>
    <xf numFmtId="0" fontId="37" fillId="7" borderId="7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68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49" fontId="30" fillId="0" borderId="0" xfId="2" applyNumberFormat="1" applyFont="1" applyAlignment="1">
      <alignment horizontal="center" vertical="center"/>
    </xf>
    <xf numFmtId="49" fontId="17" fillId="2" borderId="0" xfId="2" applyNumberFormat="1" applyFont="1" applyFill="1" applyAlignment="1">
      <alignment horizontal="center" vertical="center" wrapText="1"/>
    </xf>
    <xf numFmtId="49" fontId="17" fillId="2" borderId="0" xfId="2" applyNumberFormat="1" applyFont="1" applyFill="1" applyAlignment="1">
      <alignment horizontal="center" vertical="center"/>
    </xf>
    <xf numFmtId="49" fontId="17" fillId="0" borderId="0" xfId="2" applyNumberFormat="1" applyFont="1" applyAlignment="1">
      <alignment horizontal="center" vertical="center" wrapText="1"/>
    </xf>
    <xf numFmtId="49" fontId="8" fillId="0" borderId="31" xfId="2" applyNumberFormat="1" applyFont="1" applyBorder="1" applyAlignment="1">
      <alignment horizontal="center" vertical="center" wrapText="1"/>
    </xf>
    <xf numFmtId="49" fontId="8" fillId="0" borderId="46" xfId="2" applyNumberFormat="1" applyFont="1" applyBorder="1" applyAlignment="1">
      <alignment horizontal="center" vertical="center" wrapText="1"/>
    </xf>
    <xf numFmtId="49" fontId="8" fillId="0" borderId="60" xfId="2" applyNumberFormat="1" applyFont="1" applyBorder="1" applyAlignment="1">
      <alignment horizontal="center" vertical="center" wrapText="1"/>
    </xf>
    <xf numFmtId="49" fontId="8" fillId="0" borderId="2" xfId="2" applyNumberFormat="1" applyFont="1" applyBorder="1" applyAlignment="1">
      <alignment horizontal="center" vertical="center" wrapText="1"/>
    </xf>
    <xf numFmtId="49" fontId="8" fillId="0" borderId="68" xfId="2" applyNumberFormat="1" applyFont="1" applyBorder="1" applyAlignment="1">
      <alignment horizontal="center" vertical="center" wrapText="1"/>
    </xf>
    <xf numFmtId="49" fontId="8" fillId="0" borderId="6" xfId="2" applyNumberFormat="1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7" xfId="2" applyFont="1" applyBorder="1" applyAlignment="1">
      <alignment horizontal="center" vertical="center" wrapText="1"/>
    </xf>
    <xf numFmtId="0" fontId="26" fillId="0" borderId="31" xfId="2" applyFont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 wrapText="1"/>
    </xf>
    <xf numFmtId="0" fontId="26" fillId="0" borderId="3" xfId="2" applyFont="1" applyBorder="1" applyAlignment="1">
      <alignment horizontal="center" vertical="center" wrapText="1"/>
    </xf>
    <xf numFmtId="0" fontId="26" fillId="0" borderId="46" xfId="2" applyFont="1" applyBorder="1" applyAlignment="1">
      <alignment horizontal="center" vertical="center" wrapText="1"/>
    </xf>
    <xf numFmtId="0" fontId="26" fillId="0" borderId="68" xfId="2" applyFont="1" applyBorder="1" applyAlignment="1">
      <alignment horizontal="center" vertical="center" wrapText="1"/>
    </xf>
    <xf numFmtId="0" fontId="26" fillId="0" borderId="47" xfId="2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</cellXfs>
  <cellStyles count="8">
    <cellStyle name="Excel Built-in Normal" xfId="6" xr:uid="{34ED8A70-B6F3-45A9-8109-A35F0FC6A9CD}"/>
    <cellStyle name="Normal_Sheet1" xfId="7" xr:uid="{440F0F44-311D-48A2-B175-DEAFD43AFAB4}"/>
    <cellStyle name="Обычный" xfId="0" builtinId="0"/>
    <cellStyle name="Обычный 2" xfId="2" xr:uid="{A362FC78-5F04-4A3D-B2CD-FB5E591AACB5}"/>
    <cellStyle name="Обычный 3" xfId="4" xr:uid="{735B2513-C0B4-4E7E-981B-1D1FC4CBC537}"/>
    <cellStyle name="Обычный_нормы 2" xfId="3" xr:uid="{B91B2051-5EFA-48C7-ADEF-226D8E0706D2}"/>
    <cellStyle name="Финансовый" xfId="1" builtinId="3"/>
    <cellStyle name="Финансовый 2" xfId="5" xr:uid="{E6C86343-B5D9-4F26-B6DB-E8B6BB2BF18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C0FF3-AFBE-41C1-9923-041C2936921F}">
  <sheetPr>
    <pageSetUpPr fitToPage="1"/>
  </sheetPr>
  <dimension ref="A1:AH136"/>
  <sheetViews>
    <sheetView topLeftCell="A114" zoomScaleNormal="100" zoomScaleSheetLayoutView="115" workbookViewId="0">
      <selection activeCell="C140" sqref="C140"/>
    </sheetView>
  </sheetViews>
  <sheetFormatPr defaultColWidth="9.140625" defaultRowHeight="15" x14ac:dyDescent="0.25"/>
  <cols>
    <col min="1" max="1" width="6" style="1" customWidth="1"/>
    <col min="2" max="2" width="17.7109375" style="128" customWidth="1"/>
    <col min="3" max="3" width="84.28515625" style="1" customWidth="1"/>
    <col min="4" max="4" width="8.85546875" style="1" customWidth="1"/>
    <col min="5" max="5" width="13.85546875" style="1" bestFit="1" customWidth="1"/>
    <col min="6" max="6" width="18.7109375" style="3" customWidth="1"/>
    <col min="7" max="7" width="12.85546875" style="3" customWidth="1"/>
    <col min="8" max="8" width="18.7109375" style="3" customWidth="1"/>
    <col min="9" max="9" width="14.140625" style="3" customWidth="1"/>
    <col min="10" max="10" width="19.140625" style="3" customWidth="1"/>
    <col min="11" max="11" width="17" style="3" customWidth="1"/>
    <col min="12" max="16384" width="9.140625" style="3"/>
  </cols>
  <sheetData>
    <row r="1" spans="1:11" s="631" customFormat="1" x14ac:dyDescent="0.2">
      <c r="A1" s="632"/>
      <c r="B1" s="633"/>
      <c r="C1" s="633"/>
      <c r="D1" s="633"/>
      <c r="F1" s="633"/>
    </row>
    <row r="2" spans="1:11" s="631" customFormat="1" ht="15.75" x14ac:dyDescent="0.2">
      <c r="A2" s="634" t="s">
        <v>589</v>
      </c>
      <c r="B2" s="635"/>
      <c r="C2" s="635"/>
      <c r="D2" s="635"/>
      <c r="E2" s="636"/>
      <c r="F2" s="637"/>
    </row>
    <row r="4" spans="1:11" s="631" customFormat="1" ht="15.75" customHeight="1" x14ac:dyDescent="0.2">
      <c r="A4" s="693" t="s">
        <v>590</v>
      </c>
      <c r="B4" s="693"/>
      <c r="C4" s="693"/>
      <c r="D4" s="693"/>
      <c r="E4" s="693"/>
      <c r="F4" s="693"/>
    </row>
    <row r="5" spans="1:11" s="631" customFormat="1" x14ac:dyDescent="0.2">
      <c r="A5" s="694" t="s">
        <v>603</v>
      </c>
      <c r="B5" s="694"/>
      <c r="C5" s="694"/>
      <c r="D5" s="694"/>
      <c r="E5" s="694"/>
      <c r="F5" s="694"/>
    </row>
    <row r="6" spans="1:11" s="631" customFormat="1" ht="45" customHeight="1" thickBot="1" x14ac:dyDescent="0.25">
      <c r="A6" s="695" t="s">
        <v>601</v>
      </c>
      <c r="B6" s="695"/>
      <c r="C6" s="695"/>
      <c r="D6" s="695"/>
      <c r="E6" s="695"/>
      <c r="F6" s="695"/>
      <c r="G6" s="695"/>
    </row>
    <row r="7" spans="1:11" s="5" customFormat="1" ht="15" customHeight="1" x14ac:dyDescent="0.25">
      <c r="A7" s="699" t="s">
        <v>4</v>
      </c>
      <c r="B7" s="484" t="s">
        <v>5</v>
      </c>
      <c r="C7" s="699" t="s">
        <v>6</v>
      </c>
      <c r="D7" s="699" t="s">
        <v>7</v>
      </c>
      <c r="E7" s="699" t="s">
        <v>8</v>
      </c>
      <c r="F7" s="696" t="s">
        <v>592</v>
      </c>
      <c r="G7" s="696"/>
      <c r="H7" s="696" t="s">
        <v>593</v>
      </c>
      <c r="I7" s="696"/>
      <c r="J7" s="696"/>
      <c r="K7" s="697" t="s">
        <v>594</v>
      </c>
    </row>
    <row r="8" spans="1:11" ht="16.5" thickBot="1" x14ac:dyDescent="0.3">
      <c r="A8" s="700"/>
      <c r="B8" s="485" t="s">
        <v>11</v>
      </c>
      <c r="C8" s="700"/>
      <c r="D8" s="700"/>
      <c r="E8" s="701"/>
      <c r="F8" s="638" t="s">
        <v>595</v>
      </c>
      <c r="G8" s="638" t="s">
        <v>13</v>
      </c>
      <c r="H8" s="638" t="s">
        <v>595</v>
      </c>
      <c r="I8" s="638" t="s">
        <v>13</v>
      </c>
      <c r="J8" s="638" t="s">
        <v>596</v>
      </c>
      <c r="K8" s="698"/>
    </row>
    <row r="9" spans="1:11" ht="15.75" thickBot="1" x14ac:dyDescent="0.3">
      <c r="A9" s="541">
        <v>1</v>
      </c>
      <c r="B9" s="542">
        <v>2</v>
      </c>
      <c r="C9" s="543">
        <v>3</v>
      </c>
      <c r="D9" s="544">
        <v>4</v>
      </c>
      <c r="E9" s="578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</row>
    <row r="10" spans="1:11" ht="18.75" customHeight="1" x14ac:dyDescent="0.25">
      <c r="A10" s="501"/>
      <c r="B10" s="502" t="s">
        <v>14</v>
      </c>
      <c r="C10" s="503" t="s">
        <v>421</v>
      </c>
      <c r="D10" s="518"/>
      <c r="E10" s="504"/>
      <c r="F10" s="656"/>
      <c r="G10" s="518"/>
      <c r="H10" s="518"/>
      <c r="I10" s="518"/>
      <c r="J10" s="518"/>
      <c r="K10" s="504"/>
    </row>
    <row r="11" spans="1:11" ht="28.5" x14ac:dyDescent="0.25">
      <c r="A11" s="379" t="s">
        <v>21</v>
      </c>
      <c r="B11" s="337"/>
      <c r="C11" s="483" t="s">
        <v>71</v>
      </c>
      <c r="D11" s="538" t="s">
        <v>16</v>
      </c>
      <c r="E11" s="520">
        <v>327.83</v>
      </c>
      <c r="F11" s="657"/>
      <c r="G11" s="639">
        <v>0</v>
      </c>
      <c r="H11" s="639"/>
      <c r="I11" s="640">
        <f>E11*G11</f>
        <v>0</v>
      </c>
      <c r="J11" s="640">
        <f>H11+I11</f>
        <v>0</v>
      </c>
      <c r="K11" s="658"/>
    </row>
    <row r="12" spans="1:11" ht="28.5" x14ac:dyDescent="0.25">
      <c r="A12" s="482">
        <v>2</v>
      </c>
      <c r="B12" s="331"/>
      <c r="C12" s="332" t="s">
        <v>72</v>
      </c>
      <c r="D12" s="538" t="s">
        <v>16</v>
      </c>
      <c r="E12" s="520">
        <v>10.14</v>
      </c>
      <c r="F12" s="657"/>
      <c r="G12" s="639"/>
      <c r="H12" s="639"/>
      <c r="I12" s="640">
        <f t="shared" ref="I12:I75" si="0">E12*G12</f>
        <v>0</v>
      </c>
      <c r="J12" s="640">
        <f t="shared" ref="J12:J75" si="1">H12+I12</f>
        <v>0</v>
      </c>
      <c r="K12" s="658"/>
    </row>
    <row r="13" spans="1:11" ht="15.75" x14ac:dyDescent="0.25">
      <c r="A13" s="379" t="s">
        <v>24</v>
      </c>
      <c r="B13" s="331"/>
      <c r="C13" s="332" t="s">
        <v>107</v>
      </c>
      <c r="D13" s="538" t="s">
        <v>16</v>
      </c>
      <c r="E13" s="520">
        <v>42.69</v>
      </c>
      <c r="F13" s="657"/>
      <c r="G13" s="639"/>
      <c r="H13" s="639"/>
      <c r="I13" s="640">
        <f t="shared" si="0"/>
        <v>0</v>
      </c>
      <c r="J13" s="640">
        <f t="shared" si="1"/>
        <v>0</v>
      </c>
      <c r="K13" s="658"/>
    </row>
    <row r="14" spans="1:11" ht="15.75" x14ac:dyDescent="0.25">
      <c r="A14" s="381" t="s">
        <v>26</v>
      </c>
      <c r="B14" s="342"/>
      <c r="C14" s="336" t="s">
        <v>109</v>
      </c>
      <c r="D14" s="539" t="s">
        <v>16</v>
      </c>
      <c r="E14" s="519">
        <f>E13*1.1</f>
        <v>46.959000000000003</v>
      </c>
      <c r="F14" s="657">
        <v>0</v>
      </c>
      <c r="G14" s="639"/>
      <c r="H14" s="639">
        <f t="shared" ref="H14:H70" si="2">E14*F14</f>
        <v>0</v>
      </c>
      <c r="I14" s="640"/>
      <c r="J14" s="640">
        <f t="shared" si="1"/>
        <v>0</v>
      </c>
      <c r="K14" s="658"/>
    </row>
    <row r="15" spans="1:11" ht="28.5" x14ac:dyDescent="0.25">
      <c r="A15" s="482">
        <v>4</v>
      </c>
      <c r="B15" s="331"/>
      <c r="C15" s="332" t="s">
        <v>154</v>
      </c>
      <c r="D15" s="538" t="s">
        <v>16</v>
      </c>
      <c r="E15" s="550">
        <v>284.18700000000001</v>
      </c>
      <c r="F15" s="657"/>
      <c r="G15" s="639"/>
      <c r="H15" s="639"/>
      <c r="I15" s="640">
        <f t="shared" si="0"/>
        <v>0</v>
      </c>
      <c r="J15" s="640">
        <f t="shared" si="1"/>
        <v>0</v>
      </c>
      <c r="K15" s="658"/>
    </row>
    <row r="16" spans="1:11" ht="16.5" thickBot="1" x14ac:dyDescent="0.3">
      <c r="A16" s="553">
        <v>5</v>
      </c>
      <c r="B16" s="554"/>
      <c r="C16" s="555" t="s">
        <v>18</v>
      </c>
      <c r="D16" s="529" t="s">
        <v>16</v>
      </c>
      <c r="E16" s="556">
        <f>E15+E13</f>
        <v>326.87700000000001</v>
      </c>
      <c r="F16" s="657"/>
      <c r="G16" s="639"/>
      <c r="H16" s="639"/>
      <c r="I16" s="640">
        <f t="shared" si="0"/>
        <v>0</v>
      </c>
      <c r="J16" s="640">
        <f t="shared" si="1"/>
        <v>0</v>
      </c>
      <c r="K16" s="658"/>
    </row>
    <row r="17" spans="1:11" ht="22.5" customHeight="1" x14ac:dyDescent="0.25">
      <c r="A17" s="505"/>
      <c r="B17" s="506" t="s">
        <v>20</v>
      </c>
      <c r="C17" s="503" t="s">
        <v>437</v>
      </c>
      <c r="D17" s="534"/>
      <c r="E17" s="507"/>
      <c r="F17" s="656"/>
      <c r="G17" s="518"/>
      <c r="H17" s="518"/>
      <c r="I17" s="518"/>
      <c r="J17" s="518"/>
      <c r="K17" s="504"/>
    </row>
    <row r="18" spans="1:11" ht="15.75" x14ac:dyDescent="0.25">
      <c r="A18" s="379" t="s">
        <v>37</v>
      </c>
      <c r="B18" s="331"/>
      <c r="C18" s="332" t="s">
        <v>74</v>
      </c>
      <c r="D18" s="538" t="s">
        <v>16</v>
      </c>
      <c r="E18" s="165">
        <v>9.65</v>
      </c>
      <c r="F18" s="657"/>
      <c r="G18" s="639"/>
      <c r="H18" s="639"/>
      <c r="I18" s="640">
        <f t="shared" si="0"/>
        <v>0</v>
      </c>
      <c r="J18" s="640">
        <f t="shared" si="1"/>
        <v>0</v>
      </c>
      <c r="K18" s="658"/>
    </row>
    <row r="19" spans="1:11" ht="15.75" x14ac:dyDescent="0.25">
      <c r="A19" s="381" t="s">
        <v>39</v>
      </c>
      <c r="B19" s="335"/>
      <c r="C19" s="336" t="s">
        <v>109</v>
      </c>
      <c r="D19" s="539" t="s">
        <v>16</v>
      </c>
      <c r="E19" s="519">
        <f>E18*1.1</f>
        <v>10.615000000000002</v>
      </c>
      <c r="F19" s="657"/>
      <c r="G19" s="639"/>
      <c r="H19" s="639">
        <f t="shared" si="2"/>
        <v>0</v>
      </c>
      <c r="I19" s="640"/>
      <c r="J19" s="640">
        <f t="shared" si="1"/>
        <v>0</v>
      </c>
      <c r="K19" s="658"/>
    </row>
    <row r="20" spans="1:11" ht="15.75" x14ac:dyDescent="0.25">
      <c r="A20" s="379" t="s">
        <v>43</v>
      </c>
      <c r="B20" s="337"/>
      <c r="C20" s="332" t="s">
        <v>76</v>
      </c>
      <c r="D20" s="538" t="s">
        <v>25</v>
      </c>
      <c r="E20" s="520">
        <v>54.1</v>
      </c>
      <c r="F20" s="657"/>
      <c r="G20" s="639"/>
      <c r="H20" s="639"/>
      <c r="I20" s="640">
        <f t="shared" si="0"/>
        <v>0</v>
      </c>
      <c r="J20" s="640">
        <f t="shared" si="1"/>
        <v>0</v>
      </c>
      <c r="K20" s="658"/>
    </row>
    <row r="21" spans="1:11" ht="15.75" x14ac:dyDescent="0.25">
      <c r="A21" s="381" t="s">
        <v>45</v>
      </c>
      <c r="B21" s="335"/>
      <c r="C21" s="336" t="s">
        <v>422</v>
      </c>
      <c r="D21" s="539" t="s">
        <v>25</v>
      </c>
      <c r="E21" s="519">
        <f>E20*1.025</f>
        <v>55.452499999999993</v>
      </c>
      <c r="F21" s="657"/>
      <c r="G21" s="639"/>
      <c r="H21" s="639">
        <f t="shared" si="2"/>
        <v>0</v>
      </c>
      <c r="I21" s="640"/>
      <c r="J21" s="640">
        <f t="shared" si="1"/>
        <v>0</v>
      </c>
      <c r="K21" s="658"/>
    </row>
    <row r="22" spans="1:11" ht="15.75" x14ac:dyDescent="0.25">
      <c r="A22" s="381" t="s">
        <v>47</v>
      </c>
      <c r="B22" s="335"/>
      <c r="C22" s="336" t="s">
        <v>118</v>
      </c>
      <c r="D22" s="539" t="s">
        <v>36</v>
      </c>
      <c r="E22" s="382">
        <v>1</v>
      </c>
      <c r="F22" s="657"/>
      <c r="G22" s="639"/>
      <c r="H22" s="639">
        <f t="shared" si="2"/>
        <v>0</v>
      </c>
      <c r="I22" s="640"/>
      <c r="J22" s="640">
        <f t="shared" si="1"/>
        <v>0</v>
      </c>
      <c r="K22" s="658"/>
    </row>
    <row r="23" spans="1:11" ht="15.75" x14ac:dyDescent="0.25">
      <c r="A23" s="381" t="s">
        <v>48</v>
      </c>
      <c r="B23" s="335"/>
      <c r="C23" s="460" t="s">
        <v>96</v>
      </c>
      <c r="D23" s="539" t="s">
        <v>36</v>
      </c>
      <c r="E23" s="382">
        <v>2</v>
      </c>
      <c r="F23" s="657"/>
      <c r="G23" s="639"/>
      <c r="H23" s="639">
        <f t="shared" si="2"/>
        <v>0</v>
      </c>
      <c r="I23" s="640"/>
      <c r="J23" s="640">
        <f t="shared" si="1"/>
        <v>0</v>
      </c>
      <c r="K23" s="658"/>
    </row>
    <row r="24" spans="1:11" ht="15.75" x14ac:dyDescent="0.25">
      <c r="A24" s="379" t="s">
        <v>52</v>
      </c>
      <c r="B24" s="337"/>
      <c r="C24" s="332" t="s">
        <v>423</v>
      </c>
      <c r="D24" s="538" t="s">
        <v>25</v>
      </c>
      <c r="E24" s="520">
        <v>22.4</v>
      </c>
      <c r="F24" s="657"/>
      <c r="G24" s="639"/>
      <c r="H24" s="639"/>
      <c r="I24" s="640">
        <f t="shared" si="0"/>
        <v>0</v>
      </c>
      <c r="J24" s="640">
        <f t="shared" si="1"/>
        <v>0</v>
      </c>
      <c r="K24" s="658"/>
    </row>
    <row r="25" spans="1:11" ht="15.75" x14ac:dyDescent="0.25">
      <c r="A25" s="381" t="s">
        <v>80</v>
      </c>
      <c r="B25" s="335"/>
      <c r="C25" s="336" t="s">
        <v>424</v>
      </c>
      <c r="D25" s="539" t="s">
        <v>25</v>
      </c>
      <c r="E25" s="519">
        <v>22.4</v>
      </c>
      <c r="F25" s="657"/>
      <c r="G25" s="639"/>
      <c r="H25" s="639">
        <f t="shared" si="2"/>
        <v>0</v>
      </c>
      <c r="I25" s="640"/>
      <c r="J25" s="640">
        <f t="shared" si="1"/>
        <v>0</v>
      </c>
      <c r="K25" s="658"/>
    </row>
    <row r="26" spans="1:11" ht="15.75" x14ac:dyDescent="0.25">
      <c r="A26" s="379" t="s">
        <v>54</v>
      </c>
      <c r="B26" s="337"/>
      <c r="C26" s="338" t="s">
        <v>119</v>
      </c>
      <c r="D26" s="547" t="s">
        <v>36</v>
      </c>
      <c r="E26" s="380">
        <v>1</v>
      </c>
      <c r="F26" s="657"/>
      <c r="G26" s="639"/>
      <c r="H26" s="639"/>
      <c r="I26" s="640">
        <f t="shared" si="0"/>
        <v>0</v>
      </c>
      <c r="J26" s="640">
        <f t="shared" si="1"/>
        <v>0</v>
      </c>
      <c r="K26" s="658"/>
    </row>
    <row r="27" spans="1:11" ht="16.5" thickBot="1" x14ac:dyDescent="0.3">
      <c r="A27" s="429" t="s">
        <v>56</v>
      </c>
      <c r="B27" s="430"/>
      <c r="C27" s="558" t="s">
        <v>425</v>
      </c>
      <c r="D27" s="559" t="s">
        <v>36</v>
      </c>
      <c r="E27" s="560">
        <v>1</v>
      </c>
      <c r="F27" s="657"/>
      <c r="G27" s="639"/>
      <c r="H27" s="639">
        <f t="shared" si="2"/>
        <v>0</v>
      </c>
      <c r="I27" s="640"/>
      <c r="J27" s="640">
        <f t="shared" si="1"/>
        <v>0</v>
      </c>
      <c r="K27" s="658"/>
    </row>
    <row r="28" spans="1:11" ht="22.5" customHeight="1" x14ac:dyDescent="0.25">
      <c r="A28" s="531"/>
      <c r="B28" s="532" t="s">
        <v>256</v>
      </c>
      <c r="C28" s="510" t="s">
        <v>426</v>
      </c>
      <c r="D28" s="533"/>
      <c r="E28" s="557"/>
      <c r="F28" s="656"/>
      <c r="G28" s="518"/>
      <c r="H28" s="518"/>
      <c r="I28" s="518"/>
      <c r="J28" s="518"/>
      <c r="K28" s="504"/>
    </row>
    <row r="29" spans="1:11" ht="15.75" x14ac:dyDescent="0.25">
      <c r="A29" s="379" t="s">
        <v>57</v>
      </c>
      <c r="B29" s="331"/>
      <c r="C29" s="328" t="s">
        <v>236</v>
      </c>
      <c r="D29" s="451" t="s">
        <v>27</v>
      </c>
      <c r="E29" s="165">
        <v>18</v>
      </c>
      <c r="F29" s="657"/>
      <c r="G29" s="639"/>
      <c r="H29" s="639"/>
      <c r="I29" s="640">
        <f t="shared" si="0"/>
        <v>0</v>
      </c>
      <c r="J29" s="640">
        <f t="shared" si="1"/>
        <v>0</v>
      </c>
      <c r="K29" s="658"/>
    </row>
    <row r="30" spans="1:11" ht="15.75" x14ac:dyDescent="0.25">
      <c r="A30" s="381" t="s">
        <v>58</v>
      </c>
      <c r="B30" s="335"/>
      <c r="C30" s="330" t="s">
        <v>290</v>
      </c>
      <c r="D30" s="461" t="s">
        <v>27</v>
      </c>
      <c r="E30" s="166">
        <f>E29*1.1</f>
        <v>19.8</v>
      </c>
      <c r="F30" s="657"/>
      <c r="G30" s="639"/>
      <c r="H30" s="639">
        <f t="shared" si="2"/>
        <v>0</v>
      </c>
      <c r="I30" s="640"/>
      <c r="J30" s="640">
        <f t="shared" si="1"/>
        <v>0</v>
      </c>
      <c r="K30" s="658"/>
    </row>
    <row r="31" spans="1:11" ht="15.75" x14ac:dyDescent="0.25">
      <c r="A31" s="379" t="s">
        <v>86</v>
      </c>
      <c r="B31" s="331"/>
      <c r="C31" s="332" t="s">
        <v>427</v>
      </c>
      <c r="D31" s="451" t="s">
        <v>16</v>
      </c>
      <c r="E31" s="165">
        <v>8</v>
      </c>
      <c r="F31" s="657"/>
      <c r="G31" s="639"/>
      <c r="H31" s="639"/>
      <c r="I31" s="640">
        <f t="shared" si="0"/>
        <v>0</v>
      </c>
      <c r="J31" s="640">
        <f t="shared" si="1"/>
        <v>0</v>
      </c>
      <c r="K31" s="658"/>
    </row>
    <row r="32" spans="1:11" ht="15.75" x14ac:dyDescent="0.25">
      <c r="A32" s="381" t="s">
        <v>91</v>
      </c>
      <c r="B32" s="337"/>
      <c r="C32" s="330" t="s">
        <v>241</v>
      </c>
      <c r="D32" s="461" t="s">
        <v>16</v>
      </c>
      <c r="E32" s="166">
        <f>E31*1.25</f>
        <v>10</v>
      </c>
      <c r="F32" s="657"/>
      <c r="G32" s="639"/>
      <c r="H32" s="639">
        <f t="shared" si="2"/>
        <v>0</v>
      </c>
      <c r="I32" s="640"/>
      <c r="J32" s="640">
        <f t="shared" si="1"/>
        <v>0</v>
      </c>
      <c r="K32" s="658"/>
    </row>
    <row r="33" spans="1:11" ht="15.75" x14ac:dyDescent="0.25">
      <c r="A33" s="379" t="s">
        <v>90</v>
      </c>
      <c r="B33" s="335"/>
      <c r="C33" s="328" t="s">
        <v>292</v>
      </c>
      <c r="D33" s="451" t="s">
        <v>16</v>
      </c>
      <c r="E33" s="165">
        <v>1.9</v>
      </c>
      <c r="F33" s="657"/>
      <c r="G33" s="639"/>
      <c r="H33" s="639"/>
      <c r="I33" s="640">
        <f t="shared" si="0"/>
        <v>0</v>
      </c>
      <c r="J33" s="640">
        <f t="shared" si="1"/>
        <v>0</v>
      </c>
      <c r="K33" s="658"/>
    </row>
    <row r="34" spans="1:11" ht="15.75" x14ac:dyDescent="0.25">
      <c r="A34" s="381" t="s">
        <v>93</v>
      </c>
      <c r="B34" s="335"/>
      <c r="C34" s="330" t="s">
        <v>307</v>
      </c>
      <c r="D34" s="461" t="s">
        <v>16</v>
      </c>
      <c r="E34" s="166">
        <f>E33*1.03</f>
        <v>1.9569999999999999</v>
      </c>
      <c r="F34" s="657"/>
      <c r="G34" s="639"/>
      <c r="H34" s="639">
        <f t="shared" si="2"/>
        <v>0</v>
      </c>
      <c r="I34" s="640"/>
      <c r="J34" s="640">
        <f t="shared" si="1"/>
        <v>0</v>
      </c>
      <c r="K34" s="658"/>
    </row>
    <row r="35" spans="1:11" ht="15.75" x14ac:dyDescent="0.25">
      <c r="A35" s="379" t="s">
        <v>167</v>
      </c>
      <c r="B35" s="335"/>
      <c r="C35" s="328" t="s">
        <v>305</v>
      </c>
      <c r="D35" s="451" t="s">
        <v>27</v>
      </c>
      <c r="E35" s="165">
        <v>9</v>
      </c>
      <c r="F35" s="657"/>
      <c r="G35" s="639"/>
      <c r="H35" s="639"/>
      <c r="I35" s="640">
        <f t="shared" si="0"/>
        <v>0</v>
      </c>
      <c r="J35" s="640">
        <f t="shared" si="1"/>
        <v>0</v>
      </c>
      <c r="K35" s="658"/>
    </row>
    <row r="36" spans="1:11" ht="15.75" x14ac:dyDescent="0.25">
      <c r="A36" s="381" t="s">
        <v>97</v>
      </c>
      <c r="B36" s="335"/>
      <c r="C36" s="330" t="s">
        <v>258</v>
      </c>
      <c r="D36" s="461" t="s">
        <v>27</v>
      </c>
      <c r="E36" s="166">
        <f>E35*1.03</f>
        <v>9.27</v>
      </c>
      <c r="F36" s="657"/>
      <c r="G36" s="639"/>
      <c r="H36" s="639">
        <f t="shared" si="2"/>
        <v>0</v>
      </c>
      <c r="I36" s="640"/>
      <c r="J36" s="640">
        <f t="shared" si="1"/>
        <v>0</v>
      </c>
      <c r="K36" s="658"/>
    </row>
    <row r="37" spans="1:11" ht="15.75" x14ac:dyDescent="0.25">
      <c r="A37" s="379" t="s">
        <v>99</v>
      </c>
      <c r="B37" s="335"/>
      <c r="C37" s="332" t="s">
        <v>74</v>
      </c>
      <c r="D37" s="538" t="s">
        <v>16</v>
      </c>
      <c r="E37" s="520">
        <v>3</v>
      </c>
      <c r="F37" s="657"/>
      <c r="G37" s="639"/>
      <c r="H37" s="639"/>
      <c r="I37" s="640">
        <f t="shared" si="0"/>
        <v>0</v>
      </c>
      <c r="J37" s="640">
        <f t="shared" si="1"/>
        <v>0</v>
      </c>
      <c r="K37" s="658"/>
    </row>
    <row r="38" spans="1:11" ht="15.75" x14ac:dyDescent="0.25">
      <c r="A38" s="381" t="s">
        <v>104</v>
      </c>
      <c r="B38" s="335"/>
      <c r="C38" s="336" t="s">
        <v>109</v>
      </c>
      <c r="D38" s="539" t="s">
        <v>16</v>
      </c>
      <c r="E38" s="519">
        <f>E37*1.1</f>
        <v>3.3000000000000003</v>
      </c>
      <c r="F38" s="657"/>
      <c r="G38" s="639"/>
      <c r="H38" s="639">
        <f t="shared" si="2"/>
        <v>0</v>
      </c>
      <c r="I38" s="640"/>
      <c r="J38" s="640">
        <f t="shared" si="1"/>
        <v>0</v>
      </c>
      <c r="K38" s="658"/>
    </row>
    <row r="39" spans="1:11" ht="15.75" x14ac:dyDescent="0.25">
      <c r="A39" s="379" t="s">
        <v>61</v>
      </c>
      <c r="B39" s="335"/>
      <c r="C39" s="328" t="s">
        <v>293</v>
      </c>
      <c r="D39" s="451" t="s">
        <v>16</v>
      </c>
      <c r="E39" s="165">
        <v>0.7</v>
      </c>
      <c r="F39" s="657"/>
      <c r="G39" s="639"/>
      <c r="H39" s="639"/>
      <c r="I39" s="640">
        <f t="shared" si="0"/>
        <v>0</v>
      </c>
      <c r="J39" s="640">
        <f t="shared" si="1"/>
        <v>0</v>
      </c>
      <c r="K39" s="658"/>
    </row>
    <row r="40" spans="1:11" ht="15.75" x14ac:dyDescent="0.25">
      <c r="A40" s="381" t="s">
        <v>62</v>
      </c>
      <c r="B40" s="335"/>
      <c r="C40" s="330" t="s">
        <v>239</v>
      </c>
      <c r="D40" s="461" t="s">
        <v>16</v>
      </c>
      <c r="E40" s="166">
        <f>E39*1.015</f>
        <v>0.71049999999999991</v>
      </c>
      <c r="F40" s="657"/>
      <c r="G40" s="639"/>
      <c r="H40" s="639">
        <f t="shared" si="2"/>
        <v>0</v>
      </c>
      <c r="I40" s="640"/>
      <c r="J40" s="640">
        <f t="shared" si="1"/>
        <v>0</v>
      </c>
      <c r="K40" s="658"/>
    </row>
    <row r="41" spans="1:11" ht="15.75" x14ac:dyDescent="0.25">
      <c r="A41" s="379" t="s">
        <v>64</v>
      </c>
      <c r="B41" s="335"/>
      <c r="C41" s="328" t="s">
        <v>428</v>
      </c>
      <c r="D41" s="451" t="s">
        <v>16</v>
      </c>
      <c r="E41" s="165">
        <v>3.15</v>
      </c>
      <c r="F41" s="657"/>
      <c r="G41" s="639"/>
      <c r="H41" s="639"/>
      <c r="I41" s="640">
        <f t="shared" si="0"/>
        <v>0</v>
      </c>
      <c r="J41" s="640">
        <f t="shared" si="1"/>
        <v>0</v>
      </c>
      <c r="K41" s="658"/>
    </row>
    <row r="42" spans="1:11" ht="15.75" x14ac:dyDescent="0.25">
      <c r="A42" s="381" t="s">
        <v>357</v>
      </c>
      <c r="B42" s="335"/>
      <c r="C42" s="330" t="s">
        <v>434</v>
      </c>
      <c r="D42" s="461" t="s">
        <v>41</v>
      </c>
      <c r="E42" s="166">
        <v>328.92</v>
      </c>
      <c r="F42" s="657"/>
      <c r="G42" s="639"/>
      <c r="H42" s="639">
        <f t="shared" si="2"/>
        <v>0</v>
      </c>
      <c r="I42" s="640"/>
      <c r="J42" s="640">
        <f t="shared" si="1"/>
        <v>0</v>
      </c>
      <c r="K42" s="658"/>
    </row>
    <row r="43" spans="1:11" ht="15.75" x14ac:dyDescent="0.25">
      <c r="A43" s="381" t="s">
        <v>359</v>
      </c>
      <c r="B43" s="331"/>
      <c r="C43" s="330" t="s">
        <v>435</v>
      </c>
      <c r="D43" s="461" t="s">
        <v>41</v>
      </c>
      <c r="E43" s="166">
        <v>18.48</v>
      </c>
      <c r="F43" s="657"/>
      <c r="G43" s="639"/>
      <c r="H43" s="639">
        <f t="shared" si="2"/>
        <v>0</v>
      </c>
      <c r="I43" s="640"/>
      <c r="J43" s="640">
        <f t="shared" si="1"/>
        <v>0</v>
      </c>
      <c r="K43" s="658"/>
    </row>
    <row r="44" spans="1:11" ht="15.75" x14ac:dyDescent="0.25">
      <c r="A44" s="381" t="s">
        <v>444</v>
      </c>
      <c r="B44" s="331"/>
      <c r="C44" s="330" t="s">
        <v>306</v>
      </c>
      <c r="D44" s="461" t="s">
        <v>16</v>
      </c>
      <c r="E44" s="166">
        <f>1.015*E41</f>
        <v>3.1972499999999995</v>
      </c>
      <c r="F44" s="657"/>
      <c r="G44" s="639"/>
      <c r="H44" s="639">
        <f t="shared" si="2"/>
        <v>0</v>
      </c>
      <c r="I44" s="640"/>
      <c r="J44" s="640">
        <f t="shared" si="1"/>
        <v>0</v>
      </c>
      <c r="K44" s="658"/>
    </row>
    <row r="45" spans="1:11" ht="15.75" x14ac:dyDescent="0.25">
      <c r="A45" s="381" t="s">
        <v>445</v>
      </c>
      <c r="B45" s="331"/>
      <c r="C45" s="330" t="s">
        <v>300</v>
      </c>
      <c r="D45" s="461" t="s">
        <v>25</v>
      </c>
      <c r="E45" s="166">
        <v>13</v>
      </c>
      <c r="F45" s="657"/>
      <c r="G45" s="639"/>
      <c r="H45" s="639">
        <f t="shared" si="2"/>
        <v>0</v>
      </c>
      <c r="I45" s="640"/>
      <c r="J45" s="640">
        <f t="shared" si="1"/>
        <v>0</v>
      </c>
      <c r="K45" s="658"/>
    </row>
    <row r="46" spans="1:11" ht="15.75" x14ac:dyDescent="0.25">
      <c r="A46" s="379" t="s">
        <v>106</v>
      </c>
      <c r="B46" s="331"/>
      <c r="C46" s="328" t="s">
        <v>429</v>
      </c>
      <c r="D46" s="451" t="s">
        <v>16</v>
      </c>
      <c r="E46" s="165">
        <v>4.2</v>
      </c>
      <c r="F46" s="657"/>
      <c r="G46" s="639"/>
      <c r="H46" s="639"/>
      <c r="I46" s="640">
        <f t="shared" si="0"/>
        <v>0</v>
      </c>
      <c r="J46" s="640">
        <f t="shared" si="1"/>
        <v>0</v>
      </c>
      <c r="K46" s="658"/>
    </row>
    <row r="47" spans="1:11" ht="15.75" x14ac:dyDescent="0.25">
      <c r="A47" s="381" t="s">
        <v>178</v>
      </c>
      <c r="B47" s="331"/>
      <c r="C47" s="330" t="s">
        <v>434</v>
      </c>
      <c r="D47" s="461" t="s">
        <v>41</v>
      </c>
      <c r="E47" s="166">
        <v>193.13</v>
      </c>
      <c r="F47" s="657"/>
      <c r="G47" s="639"/>
      <c r="H47" s="639">
        <f t="shared" si="2"/>
        <v>0</v>
      </c>
      <c r="I47" s="640"/>
      <c r="J47" s="640">
        <f t="shared" si="1"/>
        <v>0</v>
      </c>
      <c r="K47" s="658"/>
    </row>
    <row r="48" spans="1:11" ht="15.75" x14ac:dyDescent="0.25">
      <c r="A48" s="381" t="s">
        <v>214</v>
      </c>
      <c r="B48" s="331"/>
      <c r="C48" s="330" t="s">
        <v>435</v>
      </c>
      <c r="D48" s="461" t="s">
        <v>41</v>
      </c>
      <c r="E48" s="166">
        <v>41.6</v>
      </c>
      <c r="F48" s="657"/>
      <c r="G48" s="639"/>
      <c r="H48" s="639">
        <f t="shared" si="2"/>
        <v>0</v>
      </c>
      <c r="I48" s="640"/>
      <c r="J48" s="640">
        <f t="shared" si="1"/>
        <v>0</v>
      </c>
      <c r="K48" s="658"/>
    </row>
    <row r="49" spans="1:11" ht="15.75" x14ac:dyDescent="0.25">
      <c r="A49" s="381" t="s">
        <v>446</v>
      </c>
      <c r="B49" s="331"/>
      <c r="C49" s="330" t="s">
        <v>306</v>
      </c>
      <c r="D49" s="461" t="s">
        <v>16</v>
      </c>
      <c r="E49" s="166">
        <f>E46*1.015</f>
        <v>4.2629999999999999</v>
      </c>
      <c r="F49" s="657"/>
      <c r="G49" s="639"/>
      <c r="H49" s="639">
        <f t="shared" si="2"/>
        <v>0</v>
      </c>
      <c r="I49" s="640"/>
      <c r="J49" s="640">
        <f t="shared" si="1"/>
        <v>0</v>
      </c>
      <c r="K49" s="658"/>
    </row>
    <row r="50" spans="1:11" ht="15.75" x14ac:dyDescent="0.25">
      <c r="A50" s="379" t="s">
        <v>447</v>
      </c>
      <c r="B50" s="331"/>
      <c r="C50" s="328" t="s">
        <v>431</v>
      </c>
      <c r="D50" s="451" t="s">
        <v>36</v>
      </c>
      <c r="E50" s="380">
        <v>62</v>
      </c>
      <c r="F50" s="657"/>
      <c r="G50" s="639"/>
      <c r="H50" s="639"/>
      <c r="I50" s="640"/>
      <c r="J50" s="640">
        <f t="shared" si="1"/>
        <v>0</v>
      </c>
      <c r="K50" s="658"/>
    </row>
    <row r="51" spans="1:11" ht="15.75" x14ac:dyDescent="0.25">
      <c r="A51" s="540" t="s">
        <v>448</v>
      </c>
      <c r="B51" s="331"/>
      <c r="C51" s="330" t="s">
        <v>434</v>
      </c>
      <c r="D51" s="461" t="s">
        <v>41</v>
      </c>
      <c r="E51" s="382">
        <v>239.32</v>
      </c>
      <c r="F51" s="657"/>
      <c r="G51" s="639"/>
      <c r="H51" s="639">
        <f t="shared" si="2"/>
        <v>0</v>
      </c>
      <c r="I51" s="640"/>
      <c r="J51" s="640">
        <f t="shared" si="1"/>
        <v>0</v>
      </c>
      <c r="K51" s="658"/>
    </row>
    <row r="52" spans="1:11" ht="15.75" x14ac:dyDescent="0.25">
      <c r="A52" s="540" t="s">
        <v>449</v>
      </c>
      <c r="B52" s="331"/>
      <c r="C52" s="330" t="s">
        <v>435</v>
      </c>
      <c r="D52" s="461" t="s">
        <v>41</v>
      </c>
      <c r="E52" s="166">
        <v>86.8</v>
      </c>
      <c r="F52" s="657"/>
      <c r="G52" s="639"/>
      <c r="H52" s="639">
        <f t="shared" si="2"/>
        <v>0</v>
      </c>
      <c r="I52" s="640"/>
      <c r="J52" s="640">
        <f t="shared" si="1"/>
        <v>0</v>
      </c>
      <c r="K52" s="658"/>
    </row>
    <row r="53" spans="1:11" ht="15.75" x14ac:dyDescent="0.25">
      <c r="A53" s="381" t="s">
        <v>450</v>
      </c>
      <c r="B53" s="331"/>
      <c r="C53" s="330" t="s">
        <v>432</v>
      </c>
      <c r="D53" s="461" t="s">
        <v>36</v>
      </c>
      <c r="E53" s="382">
        <v>1</v>
      </c>
      <c r="F53" s="657"/>
      <c r="G53" s="639"/>
      <c r="H53" s="639">
        <f t="shared" si="2"/>
        <v>0</v>
      </c>
      <c r="I53" s="640"/>
      <c r="J53" s="640">
        <f t="shared" si="1"/>
        <v>0</v>
      </c>
      <c r="K53" s="658"/>
    </row>
    <row r="54" spans="1:11" ht="15.75" x14ac:dyDescent="0.25">
      <c r="A54" s="379" t="s">
        <v>108</v>
      </c>
      <c r="B54" s="331"/>
      <c r="C54" s="328" t="s">
        <v>430</v>
      </c>
      <c r="D54" s="451" t="s">
        <v>16</v>
      </c>
      <c r="E54" s="165">
        <v>1.4</v>
      </c>
      <c r="F54" s="657"/>
      <c r="G54" s="639"/>
      <c r="H54" s="639"/>
      <c r="I54" s="640">
        <f t="shared" si="0"/>
        <v>0</v>
      </c>
      <c r="J54" s="640">
        <f t="shared" si="1"/>
        <v>0</v>
      </c>
      <c r="K54" s="658"/>
    </row>
    <row r="55" spans="1:11" ht="15.75" x14ac:dyDescent="0.25">
      <c r="A55" s="381" t="s">
        <v>451</v>
      </c>
      <c r="B55" s="331"/>
      <c r="C55" s="330" t="s">
        <v>436</v>
      </c>
      <c r="D55" s="461" t="s">
        <v>41</v>
      </c>
      <c r="E55" s="166">
        <v>474</v>
      </c>
      <c r="F55" s="657"/>
      <c r="G55" s="639"/>
      <c r="H55" s="639">
        <f t="shared" si="2"/>
        <v>0</v>
      </c>
      <c r="I55" s="640"/>
      <c r="J55" s="640">
        <f t="shared" si="1"/>
        <v>0</v>
      </c>
      <c r="K55" s="658"/>
    </row>
    <row r="56" spans="1:11" ht="15.75" x14ac:dyDescent="0.25">
      <c r="A56" s="381" t="s">
        <v>452</v>
      </c>
      <c r="B56" s="331"/>
      <c r="C56" s="330" t="s">
        <v>435</v>
      </c>
      <c r="D56" s="461" t="s">
        <v>41</v>
      </c>
      <c r="E56" s="166">
        <v>75.44</v>
      </c>
      <c r="F56" s="657"/>
      <c r="G56" s="639"/>
      <c r="H56" s="639">
        <f t="shared" si="2"/>
        <v>0</v>
      </c>
      <c r="I56" s="640"/>
      <c r="J56" s="640">
        <f t="shared" si="1"/>
        <v>0</v>
      </c>
      <c r="K56" s="658"/>
    </row>
    <row r="57" spans="1:11" ht="15.75" x14ac:dyDescent="0.25">
      <c r="A57" s="381" t="s">
        <v>453</v>
      </c>
      <c r="B57" s="331"/>
      <c r="C57" s="330" t="s">
        <v>306</v>
      </c>
      <c r="D57" s="461" t="s">
        <v>16</v>
      </c>
      <c r="E57" s="166">
        <f>E54*1.015</f>
        <v>1.4209999999999998</v>
      </c>
      <c r="F57" s="657"/>
      <c r="G57" s="639"/>
      <c r="H57" s="639">
        <f t="shared" si="2"/>
        <v>0</v>
      </c>
      <c r="I57" s="640"/>
      <c r="J57" s="640">
        <f t="shared" si="1"/>
        <v>0</v>
      </c>
      <c r="K57" s="658"/>
    </row>
    <row r="58" spans="1:11" ht="15.75" x14ac:dyDescent="0.25">
      <c r="A58" s="379" t="s">
        <v>111</v>
      </c>
      <c r="B58" s="331"/>
      <c r="C58" s="328" t="s">
        <v>313</v>
      </c>
      <c r="D58" s="451"/>
      <c r="E58" s="165"/>
      <c r="F58" s="657"/>
      <c r="G58" s="639"/>
      <c r="H58" s="639"/>
      <c r="I58" s="640">
        <f t="shared" si="0"/>
        <v>0</v>
      </c>
      <c r="J58" s="640">
        <f t="shared" si="1"/>
        <v>0</v>
      </c>
      <c r="K58" s="658"/>
    </row>
    <row r="59" spans="1:11" ht="15.75" x14ac:dyDescent="0.25">
      <c r="A59" s="381" t="s">
        <v>454</v>
      </c>
      <c r="B59" s="331"/>
      <c r="C59" s="330" t="s">
        <v>301</v>
      </c>
      <c r="D59" s="461" t="s">
        <v>27</v>
      </c>
      <c r="E59" s="166">
        <f>8+21+7</f>
        <v>36</v>
      </c>
      <c r="F59" s="657"/>
      <c r="G59" s="639"/>
      <c r="H59" s="639">
        <f t="shared" si="2"/>
        <v>0</v>
      </c>
      <c r="I59" s="640"/>
      <c r="J59" s="640">
        <f t="shared" si="1"/>
        <v>0</v>
      </c>
      <c r="K59" s="658"/>
    </row>
    <row r="60" spans="1:11" ht="15.75" x14ac:dyDescent="0.25">
      <c r="A60" s="381" t="s">
        <v>455</v>
      </c>
      <c r="B60" s="331"/>
      <c r="C60" s="468" t="s">
        <v>299</v>
      </c>
      <c r="D60" s="461" t="s">
        <v>27</v>
      </c>
      <c r="E60" s="166">
        <v>70</v>
      </c>
      <c r="F60" s="657"/>
      <c r="G60" s="639"/>
      <c r="H60" s="639">
        <f t="shared" si="2"/>
        <v>0</v>
      </c>
      <c r="I60" s="640"/>
      <c r="J60" s="640">
        <f t="shared" si="1"/>
        <v>0</v>
      </c>
      <c r="K60" s="658"/>
    </row>
    <row r="61" spans="1:11" ht="15.75" x14ac:dyDescent="0.25">
      <c r="A61" s="381" t="s">
        <v>456</v>
      </c>
      <c r="B61" s="342"/>
      <c r="C61" s="330" t="s">
        <v>302</v>
      </c>
      <c r="D61" s="461" t="s">
        <v>27</v>
      </c>
      <c r="E61" s="166">
        <f>8+21+7</f>
        <v>36</v>
      </c>
      <c r="F61" s="657"/>
      <c r="G61" s="639"/>
      <c r="H61" s="639">
        <f t="shared" si="2"/>
        <v>0</v>
      </c>
      <c r="I61" s="640"/>
      <c r="J61" s="640">
        <f t="shared" si="1"/>
        <v>0</v>
      </c>
      <c r="K61" s="658"/>
    </row>
    <row r="62" spans="1:11" ht="15.75" x14ac:dyDescent="0.25">
      <c r="A62" s="381" t="s">
        <v>457</v>
      </c>
      <c r="B62" s="342"/>
      <c r="C62" s="330" t="s">
        <v>312</v>
      </c>
      <c r="D62" s="461" t="s">
        <v>25</v>
      </c>
      <c r="E62" s="166">
        <f>2.9*2+2.4*2</f>
        <v>10.6</v>
      </c>
      <c r="F62" s="657"/>
      <c r="G62" s="639"/>
      <c r="H62" s="639">
        <f t="shared" si="2"/>
        <v>0</v>
      </c>
      <c r="I62" s="640"/>
      <c r="J62" s="640">
        <f t="shared" si="1"/>
        <v>0</v>
      </c>
      <c r="K62" s="658"/>
    </row>
    <row r="63" spans="1:11" ht="15.75" x14ac:dyDescent="0.25">
      <c r="A63" s="379" t="s">
        <v>113</v>
      </c>
      <c r="B63" s="342"/>
      <c r="C63" s="328" t="s">
        <v>314</v>
      </c>
      <c r="D63" s="451"/>
      <c r="E63" s="165"/>
      <c r="F63" s="657"/>
      <c r="G63" s="639"/>
      <c r="H63" s="639"/>
      <c r="I63" s="640">
        <f t="shared" si="0"/>
        <v>0</v>
      </c>
      <c r="J63" s="640">
        <f t="shared" si="1"/>
        <v>0</v>
      </c>
      <c r="K63" s="658"/>
    </row>
    <row r="64" spans="1:11" ht="15.75" x14ac:dyDescent="0.25">
      <c r="A64" s="381" t="s">
        <v>458</v>
      </c>
      <c r="B64" s="342"/>
      <c r="C64" s="330" t="s">
        <v>284</v>
      </c>
      <c r="D64" s="461" t="s">
        <v>36</v>
      </c>
      <c r="E64" s="382">
        <v>4</v>
      </c>
      <c r="F64" s="657"/>
      <c r="G64" s="639"/>
      <c r="H64" s="639">
        <f t="shared" si="2"/>
        <v>0</v>
      </c>
      <c r="I64" s="640"/>
      <c r="J64" s="640">
        <f t="shared" si="1"/>
        <v>0</v>
      </c>
      <c r="K64" s="658"/>
    </row>
    <row r="65" spans="1:11" ht="15.75" x14ac:dyDescent="0.25">
      <c r="A65" s="381" t="s">
        <v>459</v>
      </c>
      <c r="B65" s="342"/>
      <c r="C65" s="330" t="s">
        <v>309</v>
      </c>
      <c r="D65" s="461" t="s">
        <v>36</v>
      </c>
      <c r="E65" s="382">
        <v>2</v>
      </c>
      <c r="F65" s="657"/>
      <c r="G65" s="639"/>
      <c r="H65" s="639">
        <f t="shared" si="2"/>
        <v>0</v>
      </c>
      <c r="I65" s="640"/>
      <c r="J65" s="640">
        <f t="shared" si="1"/>
        <v>0</v>
      </c>
      <c r="K65" s="658"/>
    </row>
    <row r="66" spans="1:11" ht="15.75" x14ac:dyDescent="0.25">
      <c r="A66" s="381" t="s">
        <v>460</v>
      </c>
      <c r="B66" s="342"/>
      <c r="C66" s="330" t="s">
        <v>310</v>
      </c>
      <c r="D66" s="461" t="s">
        <v>36</v>
      </c>
      <c r="E66" s="382">
        <v>1</v>
      </c>
      <c r="F66" s="657"/>
      <c r="G66" s="639"/>
      <c r="H66" s="639">
        <f t="shared" si="2"/>
        <v>0</v>
      </c>
      <c r="I66" s="640"/>
      <c r="J66" s="640">
        <f t="shared" si="1"/>
        <v>0</v>
      </c>
      <c r="K66" s="658"/>
    </row>
    <row r="67" spans="1:11" ht="15.75" x14ac:dyDescent="0.25">
      <c r="A67" s="381" t="s">
        <v>461</v>
      </c>
      <c r="B67" s="342"/>
      <c r="C67" s="330" t="s">
        <v>311</v>
      </c>
      <c r="D67" s="461" t="s">
        <v>36</v>
      </c>
      <c r="E67" s="382">
        <v>1</v>
      </c>
      <c r="F67" s="657"/>
      <c r="G67" s="639"/>
      <c r="H67" s="639">
        <f t="shared" si="2"/>
        <v>0</v>
      </c>
      <c r="I67" s="640"/>
      <c r="J67" s="640">
        <f t="shared" si="1"/>
        <v>0</v>
      </c>
      <c r="K67" s="658"/>
    </row>
    <row r="68" spans="1:11" ht="15.75" x14ac:dyDescent="0.25">
      <c r="A68" s="381" t="s">
        <v>462</v>
      </c>
      <c r="B68" s="342"/>
      <c r="C68" s="330" t="s">
        <v>433</v>
      </c>
      <c r="D68" s="461" t="s">
        <v>36</v>
      </c>
      <c r="E68" s="382">
        <v>2</v>
      </c>
      <c r="F68" s="657"/>
      <c r="G68" s="639"/>
      <c r="H68" s="639">
        <f t="shared" si="2"/>
        <v>0</v>
      </c>
      <c r="I68" s="640"/>
      <c r="J68" s="640">
        <f t="shared" si="1"/>
        <v>0</v>
      </c>
      <c r="K68" s="658"/>
    </row>
    <row r="69" spans="1:11" ht="42.75" x14ac:dyDescent="0.25">
      <c r="A69" s="379" t="s">
        <v>263</v>
      </c>
      <c r="B69" s="342"/>
      <c r="C69" s="326" t="s">
        <v>171</v>
      </c>
      <c r="D69" s="461" t="s">
        <v>36</v>
      </c>
      <c r="E69" s="380">
        <v>1</v>
      </c>
      <c r="F69" s="657"/>
      <c r="G69" s="639"/>
      <c r="H69" s="639"/>
      <c r="I69" s="640">
        <f t="shared" si="0"/>
        <v>0</v>
      </c>
      <c r="J69" s="640">
        <f t="shared" si="1"/>
        <v>0</v>
      </c>
      <c r="K69" s="658"/>
    </row>
    <row r="70" spans="1:11" ht="15.75" x14ac:dyDescent="0.25">
      <c r="A70" s="381" t="s">
        <v>395</v>
      </c>
      <c r="B70" s="342"/>
      <c r="C70" s="471" t="s">
        <v>101</v>
      </c>
      <c r="D70" s="461" t="s">
        <v>102</v>
      </c>
      <c r="E70" s="382">
        <v>1</v>
      </c>
      <c r="F70" s="657"/>
      <c r="G70" s="639"/>
      <c r="H70" s="639">
        <f t="shared" si="2"/>
        <v>0</v>
      </c>
      <c r="I70" s="640"/>
      <c r="J70" s="640">
        <f t="shared" si="1"/>
        <v>0</v>
      </c>
      <c r="K70" s="658"/>
    </row>
    <row r="71" spans="1:11" ht="28.5" x14ac:dyDescent="0.25">
      <c r="A71" s="379" t="s">
        <v>264</v>
      </c>
      <c r="B71" s="342"/>
      <c r="C71" s="326" t="s">
        <v>103</v>
      </c>
      <c r="D71" s="451" t="s">
        <v>36</v>
      </c>
      <c r="E71" s="380">
        <v>2</v>
      </c>
      <c r="F71" s="657"/>
      <c r="G71" s="639"/>
      <c r="H71" s="639"/>
      <c r="I71" s="640">
        <f t="shared" si="0"/>
        <v>0</v>
      </c>
      <c r="J71" s="640">
        <f t="shared" si="1"/>
        <v>0</v>
      </c>
      <c r="K71" s="658"/>
    </row>
    <row r="72" spans="1:11" ht="15.75" x14ac:dyDescent="0.25">
      <c r="A72" s="379" t="s">
        <v>265</v>
      </c>
      <c r="B72" s="342"/>
      <c r="C72" s="326" t="s">
        <v>105</v>
      </c>
      <c r="D72" s="451" t="s">
        <v>25</v>
      </c>
      <c r="E72" s="380">
        <v>55</v>
      </c>
      <c r="F72" s="657"/>
      <c r="G72" s="639"/>
      <c r="H72" s="639"/>
      <c r="I72" s="640">
        <f t="shared" si="0"/>
        <v>0</v>
      </c>
      <c r="J72" s="640">
        <f t="shared" si="1"/>
        <v>0</v>
      </c>
      <c r="K72" s="658"/>
    </row>
    <row r="73" spans="1:11" ht="29.25" thickBot="1" x14ac:dyDescent="0.3">
      <c r="A73" s="561" t="s">
        <v>267</v>
      </c>
      <c r="B73" s="562"/>
      <c r="C73" s="563" t="s">
        <v>103</v>
      </c>
      <c r="D73" s="323" t="s">
        <v>36</v>
      </c>
      <c r="E73" s="564">
        <v>1</v>
      </c>
      <c r="F73" s="657"/>
      <c r="G73" s="639"/>
      <c r="H73" s="639"/>
      <c r="I73" s="640">
        <f t="shared" si="0"/>
        <v>0</v>
      </c>
      <c r="J73" s="640">
        <f t="shared" si="1"/>
        <v>0</v>
      </c>
      <c r="K73" s="658"/>
    </row>
    <row r="74" spans="1:11" ht="22.5" customHeight="1" x14ac:dyDescent="0.25">
      <c r="A74" s="536"/>
      <c r="B74" s="502" t="s">
        <v>443</v>
      </c>
      <c r="C74" s="503" t="s">
        <v>438</v>
      </c>
      <c r="D74" s="503"/>
      <c r="E74" s="537"/>
      <c r="F74" s="656"/>
      <c r="G74" s="518"/>
      <c r="H74" s="518"/>
      <c r="I74" s="518"/>
      <c r="J74" s="518"/>
      <c r="K74" s="504"/>
    </row>
    <row r="75" spans="1:11" ht="29.25" customHeight="1" x14ac:dyDescent="0.25">
      <c r="A75" s="379" t="s">
        <v>268</v>
      </c>
      <c r="B75" s="337"/>
      <c r="C75" s="338" t="s">
        <v>71</v>
      </c>
      <c r="D75" s="545" t="s">
        <v>16</v>
      </c>
      <c r="E75" s="380">
        <v>95.84</v>
      </c>
      <c r="F75" s="657"/>
      <c r="G75" s="639"/>
      <c r="H75" s="639"/>
      <c r="I75" s="640">
        <f t="shared" si="0"/>
        <v>0</v>
      </c>
      <c r="J75" s="640">
        <f t="shared" si="1"/>
        <v>0</v>
      </c>
      <c r="K75" s="658"/>
    </row>
    <row r="76" spans="1:11" ht="29.25" customHeight="1" x14ac:dyDescent="0.25">
      <c r="A76" s="379" t="s">
        <v>269</v>
      </c>
      <c r="B76" s="337"/>
      <c r="C76" s="338" t="s">
        <v>73</v>
      </c>
      <c r="D76" s="545" t="s">
        <v>16</v>
      </c>
      <c r="E76" s="380">
        <v>2.96</v>
      </c>
      <c r="F76" s="657"/>
      <c r="G76" s="639"/>
      <c r="H76" s="639"/>
      <c r="I76" s="640">
        <f t="shared" ref="I76:I127" si="3">E76*G76</f>
        <v>0</v>
      </c>
      <c r="J76" s="640">
        <f t="shared" ref="J76:J127" si="4">H76+I76</f>
        <v>0</v>
      </c>
      <c r="K76" s="658"/>
    </row>
    <row r="77" spans="1:11" ht="15.75" x14ac:dyDescent="0.25">
      <c r="A77" s="373" t="s">
        <v>271</v>
      </c>
      <c r="B77" s="325"/>
      <c r="C77" s="466" t="s">
        <v>347</v>
      </c>
      <c r="D77" s="450" t="s">
        <v>36</v>
      </c>
      <c r="E77" s="380">
        <v>1</v>
      </c>
      <c r="F77" s="657"/>
      <c r="G77" s="639"/>
      <c r="H77" s="639"/>
      <c r="I77" s="640">
        <f t="shared" si="3"/>
        <v>0</v>
      </c>
      <c r="J77" s="640">
        <f t="shared" si="4"/>
        <v>0</v>
      </c>
      <c r="K77" s="658"/>
    </row>
    <row r="78" spans="1:11" ht="15.75" x14ac:dyDescent="0.25">
      <c r="A78" s="373" t="s">
        <v>272</v>
      </c>
      <c r="B78" s="325"/>
      <c r="C78" s="466" t="s">
        <v>348</v>
      </c>
      <c r="D78" s="450" t="s">
        <v>25</v>
      </c>
      <c r="E78" s="380">
        <v>26.9</v>
      </c>
      <c r="F78" s="657"/>
      <c r="G78" s="639"/>
      <c r="H78" s="639"/>
      <c r="I78" s="640">
        <f t="shared" si="3"/>
        <v>0</v>
      </c>
      <c r="J78" s="640">
        <f t="shared" si="4"/>
        <v>0</v>
      </c>
      <c r="K78" s="658"/>
    </row>
    <row r="79" spans="1:11" ht="15.75" x14ac:dyDescent="0.25">
      <c r="A79" s="373" t="s">
        <v>275</v>
      </c>
      <c r="B79" s="325"/>
      <c r="C79" s="466" t="s">
        <v>349</v>
      </c>
      <c r="D79" s="450" t="s">
        <v>25</v>
      </c>
      <c r="E79" s="380">
        <v>26.9</v>
      </c>
      <c r="F79" s="657"/>
      <c r="G79" s="639"/>
      <c r="H79" s="639"/>
      <c r="I79" s="640">
        <f t="shared" si="3"/>
        <v>0</v>
      </c>
      <c r="J79" s="640">
        <f t="shared" si="4"/>
        <v>0</v>
      </c>
      <c r="K79" s="658"/>
    </row>
    <row r="80" spans="1:11" ht="15.75" x14ac:dyDescent="0.25">
      <c r="A80" s="373" t="s">
        <v>276</v>
      </c>
      <c r="B80" s="325"/>
      <c r="C80" s="466" t="s">
        <v>354</v>
      </c>
      <c r="D80" s="450" t="s">
        <v>25</v>
      </c>
      <c r="E80" s="380">
        <v>26.9</v>
      </c>
      <c r="F80" s="657"/>
      <c r="G80" s="639"/>
      <c r="H80" s="639"/>
      <c r="I80" s="640">
        <f t="shared" si="3"/>
        <v>0</v>
      </c>
      <c r="J80" s="640">
        <f t="shared" si="4"/>
        <v>0</v>
      </c>
      <c r="K80" s="658"/>
    </row>
    <row r="81" spans="1:11" ht="15.75" x14ac:dyDescent="0.25">
      <c r="A81" s="373" t="s">
        <v>373</v>
      </c>
      <c r="B81" s="325"/>
      <c r="C81" s="466" t="s">
        <v>353</v>
      </c>
      <c r="D81" s="450" t="s">
        <v>25</v>
      </c>
      <c r="E81" s="380">
        <v>26.9</v>
      </c>
      <c r="F81" s="657"/>
      <c r="G81" s="639"/>
      <c r="H81" s="639"/>
      <c r="I81" s="640">
        <f t="shared" si="3"/>
        <v>0</v>
      </c>
      <c r="J81" s="640">
        <f t="shared" si="4"/>
        <v>0</v>
      </c>
      <c r="K81" s="658"/>
    </row>
    <row r="82" spans="1:11" ht="15.75" x14ac:dyDescent="0.25">
      <c r="A82" s="373" t="s">
        <v>277</v>
      </c>
      <c r="B82" s="325"/>
      <c r="C82" s="466" t="s">
        <v>352</v>
      </c>
      <c r="D82" s="450" t="s">
        <v>25</v>
      </c>
      <c r="E82" s="380">
        <v>26.9</v>
      </c>
      <c r="F82" s="657"/>
      <c r="G82" s="639"/>
      <c r="H82" s="639"/>
      <c r="I82" s="640">
        <f t="shared" si="3"/>
        <v>0</v>
      </c>
      <c r="J82" s="640">
        <f t="shared" si="4"/>
        <v>0</v>
      </c>
      <c r="K82" s="658"/>
    </row>
    <row r="83" spans="1:11" ht="15.75" x14ac:dyDescent="0.25">
      <c r="A83" s="373" t="s">
        <v>374</v>
      </c>
      <c r="B83" s="325"/>
      <c r="C83" s="466" t="s">
        <v>351</v>
      </c>
      <c r="D83" s="450" t="s">
        <v>25</v>
      </c>
      <c r="E83" s="380">
        <v>26.9</v>
      </c>
      <c r="F83" s="657"/>
      <c r="G83" s="639"/>
      <c r="H83" s="639"/>
      <c r="I83" s="640">
        <f t="shared" si="3"/>
        <v>0</v>
      </c>
      <c r="J83" s="640">
        <f t="shared" si="4"/>
        <v>0</v>
      </c>
      <c r="K83" s="658"/>
    </row>
    <row r="84" spans="1:11" ht="15.75" x14ac:dyDescent="0.25">
      <c r="A84" s="373" t="s">
        <v>375</v>
      </c>
      <c r="B84" s="325"/>
      <c r="C84" s="466" t="s">
        <v>350</v>
      </c>
      <c r="D84" s="450" t="s">
        <v>25</v>
      </c>
      <c r="E84" s="380">
        <v>26.9</v>
      </c>
      <c r="F84" s="657"/>
      <c r="G84" s="639"/>
      <c r="H84" s="639"/>
      <c r="I84" s="640">
        <f t="shared" si="3"/>
        <v>0</v>
      </c>
      <c r="J84" s="640">
        <f t="shared" si="4"/>
        <v>0</v>
      </c>
      <c r="K84" s="658"/>
    </row>
    <row r="85" spans="1:11" ht="15.75" x14ac:dyDescent="0.25">
      <c r="A85" s="373" t="s">
        <v>376</v>
      </c>
      <c r="B85" s="325"/>
      <c r="C85" s="466" t="s">
        <v>439</v>
      </c>
      <c r="D85" s="450" t="s">
        <v>25</v>
      </c>
      <c r="E85" s="380">
        <v>26.9</v>
      </c>
      <c r="F85" s="657"/>
      <c r="G85" s="639"/>
      <c r="H85" s="639"/>
      <c r="I85" s="640">
        <f t="shared" si="3"/>
        <v>0</v>
      </c>
      <c r="J85" s="640">
        <f t="shared" si="4"/>
        <v>0</v>
      </c>
      <c r="K85" s="658"/>
    </row>
    <row r="86" spans="1:11" ht="15.75" x14ac:dyDescent="0.25">
      <c r="A86" s="381" t="s">
        <v>566</v>
      </c>
      <c r="B86" s="335"/>
      <c r="C86" s="339" t="s">
        <v>586</v>
      </c>
      <c r="D86" s="546" t="s">
        <v>25</v>
      </c>
      <c r="E86" s="382">
        <v>26.9</v>
      </c>
      <c r="F86" s="657"/>
      <c r="G86" s="639"/>
      <c r="H86" s="639">
        <f t="shared" ref="H86:H125" si="5">E86*F86</f>
        <v>0</v>
      </c>
      <c r="I86" s="640"/>
      <c r="J86" s="640">
        <f t="shared" si="4"/>
        <v>0</v>
      </c>
      <c r="K86" s="658"/>
    </row>
    <row r="87" spans="1:11" ht="15.75" x14ac:dyDescent="0.25">
      <c r="A87" s="373" t="s">
        <v>377</v>
      </c>
      <c r="B87" s="325"/>
      <c r="C87" s="466" t="s">
        <v>356</v>
      </c>
      <c r="D87" s="450" t="s">
        <v>36</v>
      </c>
      <c r="E87" s="380">
        <v>1</v>
      </c>
      <c r="F87" s="657"/>
      <c r="G87" s="639"/>
      <c r="H87" s="639"/>
      <c r="I87" s="640">
        <f t="shared" si="3"/>
        <v>0</v>
      </c>
      <c r="J87" s="640">
        <f t="shared" si="4"/>
        <v>0</v>
      </c>
      <c r="K87" s="658"/>
    </row>
    <row r="88" spans="1:11" ht="15.75" x14ac:dyDescent="0.25">
      <c r="A88" s="379" t="s">
        <v>378</v>
      </c>
      <c r="B88" s="337"/>
      <c r="C88" s="338" t="s">
        <v>156</v>
      </c>
      <c r="D88" s="545" t="s">
        <v>16</v>
      </c>
      <c r="E88" s="380">
        <v>11.32</v>
      </c>
      <c r="F88" s="657"/>
      <c r="G88" s="639"/>
      <c r="H88" s="639"/>
      <c r="I88" s="640">
        <f t="shared" si="3"/>
        <v>0</v>
      </c>
      <c r="J88" s="640">
        <f t="shared" si="4"/>
        <v>0</v>
      </c>
      <c r="K88" s="658"/>
    </row>
    <row r="89" spans="1:11" ht="15.75" x14ac:dyDescent="0.25">
      <c r="A89" s="381" t="s">
        <v>379</v>
      </c>
      <c r="B89" s="335"/>
      <c r="C89" s="339" t="s">
        <v>109</v>
      </c>
      <c r="D89" s="546" t="s">
        <v>16</v>
      </c>
      <c r="E89" s="382">
        <f>E88*1.1</f>
        <v>12.452000000000002</v>
      </c>
      <c r="F89" s="657"/>
      <c r="G89" s="639"/>
      <c r="H89" s="639">
        <f t="shared" si="5"/>
        <v>0</v>
      </c>
      <c r="I89" s="640"/>
      <c r="J89" s="640">
        <f t="shared" si="4"/>
        <v>0</v>
      </c>
      <c r="K89" s="658"/>
    </row>
    <row r="90" spans="1:11" ht="29.25" customHeight="1" x14ac:dyDescent="0.25">
      <c r="A90" s="379" t="s">
        <v>380</v>
      </c>
      <c r="B90" s="337"/>
      <c r="C90" s="338" t="s">
        <v>154</v>
      </c>
      <c r="D90" s="545" t="s">
        <v>16</v>
      </c>
      <c r="E90" s="380">
        <v>78.97</v>
      </c>
      <c r="F90" s="657"/>
      <c r="G90" s="639"/>
      <c r="H90" s="639"/>
      <c r="I90" s="640">
        <f t="shared" si="3"/>
        <v>0</v>
      </c>
      <c r="J90" s="640">
        <f t="shared" si="4"/>
        <v>0</v>
      </c>
      <c r="K90" s="658"/>
    </row>
    <row r="91" spans="1:11" ht="15.75" x14ac:dyDescent="0.25">
      <c r="A91" s="381" t="s">
        <v>579</v>
      </c>
      <c r="B91" s="335"/>
      <c r="C91" s="339" t="s">
        <v>109</v>
      </c>
      <c r="D91" s="546" t="s">
        <v>16</v>
      </c>
      <c r="E91" s="382">
        <f>E90*1.1</f>
        <v>86.867000000000004</v>
      </c>
      <c r="F91" s="657"/>
      <c r="G91" s="639"/>
      <c r="H91" s="639">
        <f t="shared" si="5"/>
        <v>0</v>
      </c>
      <c r="I91" s="640"/>
      <c r="J91" s="640">
        <f t="shared" si="4"/>
        <v>0</v>
      </c>
      <c r="K91" s="658"/>
    </row>
    <row r="92" spans="1:11" ht="15.75" x14ac:dyDescent="0.25">
      <c r="A92" s="379" t="s">
        <v>381</v>
      </c>
      <c r="B92" s="337"/>
      <c r="C92" s="338" t="s">
        <v>18</v>
      </c>
      <c r="D92" s="545" t="s">
        <v>16</v>
      </c>
      <c r="E92" s="380">
        <f>E90+E88</f>
        <v>90.289999999999992</v>
      </c>
      <c r="F92" s="657"/>
      <c r="G92" s="639"/>
      <c r="H92" s="639"/>
      <c r="I92" s="640">
        <f t="shared" si="3"/>
        <v>0</v>
      </c>
      <c r="J92" s="640">
        <f t="shared" si="4"/>
        <v>0</v>
      </c>
      <c r="K92" s="658"/>
    </row>
    <row r="93" spans="1:11" ht="15.75" x14ac:dyDescent="0.25">
      <c r="A93" s="379" t="s">
        <v>382</v>
      </c>
      <c r="B93" s="337"/>
      <c r="C93" s="338" t="s">
        <v>74</v>
      </c>
      <c r="D93" s="545" t="s">
        <v>16</v>
      </c>
      <c r="E93" s="380">
        <v>0.96</v>
      </c>
      <c r="F93" s="657"/>
      <c r="G93" s="639"/>
      <c r="H93" s="639"/>
      <c r="I93" s="640">
        <f t="shared" si="3"/>
        <v>0</v>
      </c>
      <c r="J93" s="640">
        <f t="shared" si="4"/>
        <v>0</v>
      </c>
      <c r="K93" s="658"/>
    </row>
    <row r="94" spans="1:11" ht="15.75" x14ac:dyDescent="0.25">
      <c r="A94" s="381" t="s">
        <v>416</v>
      </c>
      <c r="B94" s="335"/>
      <c r="C94" s="339" t="s">
        <v>109</v>
      </c>
      <c r="D94" s="546" t="s">
        <v>16</v>
      </c>
      <c r="E94" s="382">
        <f>E93*1.1</f>
        <v>1.056</v>
      </c>
      <c r="F94" s="657"/>
      <c r="G94" s="639"/>
      <c r="H94" s="639">
        <f t="shared" si="5"/>
        <v>0</v>
      </c>
      <c r="I94" s="640"/>
      <c r="J94" s="640">
        <f t="shared" si="4"/>
        <v>0</v>
      </c>
      <c r="K94" s="658"/>
    </row>
    <row r="95" spans="1:11" ht="15.75" x14ac:dyDescent="0.25">
      <c r="A95" s="379" t="s">
        <v>383</v>
      </c>
      <c r="B95" s="331"/>
      <c r="C95" s="340" t="s">
        <v>198</v>
      </c>
      <c r="D95" s="538" t="s">
        <v>60</v>
      </c>
      <c r="E95" s="520">
        <f>(E75+E76)*1.6</f>
        <v>158.08000000000001</v>
      </c>
      <c r="F95" s="657"/>
      <c r="G95" s="639"/>
      <c r="H95" s="639"/>
      <c r="I95" s="640">
        <f t="shared" si="3"/>
        <v>0</v>
      </c>
      <c r="J95" s="640">
        <f t="shared" si="4"/>
        <v>0</v>
      </c>
      <c r="K95" s="658"/>
    </row>
    <row r="96" spans="1:11" ht="29.25" customHeight="1" x14ac:dyDescent="0.25">
      <c r="A96" s="379" t="s">
        <v>389</v>
      </c>
      <c r="B96" s="337"/>
      <c r="C96" s="338" t="s">
        <v>440</v>
      </c>
      <c r="D96" s="545" t="s">
        <v>25</v>
      </c>
      <c r="E96" s="380">
        <v>27.8</v>
      </c>
      <c r="F96" s="657"/>
      <c r="G96" s="639"/>
      <c r="H96" s="639"/>
      <c r="I96" s="640">
        <f t="shared" si="3"/>
        <v>0</v>
      </c>
      <c r="J96" s="640">
        <f t="shared" si="4"/>
        <v>0</v>
      </c>
      <c r="K96" s="658"/>
    </row>
    <row r="97" spans="1:11" ht="15.75" x14ac:dyDescent="0.25">
      <c r="A97" s="381" t="s">
        <v>418</v>
      </c>
      <c r="B97" s="335"/>
      <c r="C97" s="339" t="s">
        <v>441</v>
      </c>
      <c r="D97" s="546" t="s">
        <v>25</v>
      </c>
      <c r="E97" s="382">
        <v>27.8</v>
      </c>
      <c r="F97" s="657"/>
      <c r="G97" s="639"/>
      <c r="H97" s="639">
        <f t="shared" si="5"/>
        <v>0</v>
      </c>
      <c r="I97" s="640"/>
      <c r="J97" s="640">
        <f t="shared" si="4"/>
        <v>0</v>
      </c>
      <c r="K97" s="658"/>
    </row>
    <row r="98" spans="1:11" ht="15.75" x14ac:dyDescent="0.25">
      <c r="A98" s="381" t="s">
        <v>463</v>
      </c>
      <c r="B98" s="335"/>
      <c r="C98" s="339" t="s">
        <v>94</v>
      </c>
      <c r="D98" s="546" t="s">
        <v>36</v>
      </c>
      <c r="E98" s="382">
        <v>6</v>
      </c>
      <c r="F98" s="657"/>
      <c r="G98" s="639"/>
      <c r="H98" s="639">
        <f t="shared" si="5"/>
        <v>0</v>
      </c>
      <c r="I98" s="640"/>
      <c r="J98" s="640">
        <f t="shared" si="4"/>
        <v>0</v>
      </c>
      <c r="K98" s="658"/>
    </row>
    <row r="99" spans="1:11" ht="15.75" x14ac:dyDescent="0.25">
      <c r="A99" s="381" t="s">
        <v>464</v>
      </c>
      <c r="B99" s="335"/>
      <c r="C99" s="339" t="s">
        <v>95</v>
      </c>
      <c r="D99" s="546" t="s">
        <v>36</v>
      </c>
      <c r="E99" s="382">
        <v>6</v>
      </c>
      <c r="F99" s="657"/>
      <c r="G99" s="639"/>
      <c r="H99" s="639">
        <f t="shared" si="5"/>
        <v>0</v>
      </c>
      <c r="I99" s="640"/>
      <c r="J99" s="640">
        <f t="shared" si="4"/>
        <v>0</v>
      </c>
      <c r="K99" s="658"/>
    </row>
    <row r="100" spans="1:11" ht="15.75" x14ac:dyDescent="0.25">
      <c r="A100" s="381" t="s">
        <v>465</v>
      </c>
      <c r="B100" s="335"/>
      <c r="C100" s="339" t="s">
        <v>96</v>
      </c>
      <c r="D100" s="546" t="s">
        <v>36</v>
      </c>
      <c r="E100" s="382">
        <v>3</v>
      </c>
      <c r="F100" s="657"/>
      <c r="G100" s="639"/>
      <c r="H100" s="639">
        <f t="shared" si="5"/>
        <v>0</v>
      </c>
      <c r="I100" s="640"/>
      <c r="J100" s="640">
        <f t="shared" si="4"/>
        <v>0</v>
      </c>
      <c r="K100" s="658"/>
    </row>
    <row r="101" spans="1:11" ht="15.75" x14ac:dyDescent="0.25">
      <c r="A101" s="379" t="s">
        <v>390</v>
      </c>
      <c r="B101" s="335"/>
      <c r="C101" s="483" t="s">
        <v>78</v>
      </c>
      <c r="D101" s="538" t="s">
        <v>36</v>
      </c>
      <c r="E101" s="380">
        <v>2</v>
      </c>
      <c r="F101" s="657"/>
      <c r="G101" s="639"/>
      <c r="H101" s="639"/>
      <c r="I101" s="640">
        <f t="shared" si="3"/>
        <v>0</v>
      </c>
      <c r="J101" s="640">
        <f t="shared" si="4"/>
        <v>0</v>
      </c>
      <c r="K101" s="658"/>
    </row>
    <row r="102" spans="1:11" ht="15.75" x14ac:dyDescent="0.25">
      <c r="A102" s="381" t="s">
        <v>466</v>
      </c>
      <c r="B102" s="335"/>
      <c r="C102" s="549" t="s">
        <v>79</v>
      </c>
      <c r="D102" s="539" t="s">
        <v>36</v>
      </c>
      <c r="E102" s="382">
        <v>2</v>
      </c>
      <c r="F102" s="657"/>
      <c r="G102" s="639"/>
      <c r="H102" s="639">
        <f t="shared" si="5"/>
        <v>0</v>
      </c>
      <c r="I102" s="640"/>
      <c r="J102" s="640">
        <f t="shared" si="4"/>
        <v>0</v>
      </c>
      <c r="K102" s="658"/>
    </row>
    <row r="103" spans="1:11" ht="15.75" x14ac:dyDescent="0.25">
      <c r="A103" s="379" t="s">
        <v>419</v>
      </c>
      <c r="B103" s="335"/>
      <c r="C103" s="483" t="s">
        <v>81</v>
      </c>
      <c r="D103" s="538" t="s">
        <v>36</v>
      </c>
      <c r="E103" s="380">
        <v>5</v>
      </c>
      <c r="F103" s="657"/>
      <c r="G103" s="639"/>
      <c r="H103" s="639"/>
      <c r="I103" s="640">
        <f t="shared" si="3"/>
        <v>0</v>
      </c>
      <c r="J103" s="640">
        <f t="shared" si="4"/>
        <v>0</v>
      </c>
      <c r="K103" s="658"/>
    </row>
    <row r="104" spans="1:11" ht="15.75" x14ac:dyDescent="0.25">
      <c r="A104" s="381" t="s">
        <v>467</v>
      </c>
      <c r="B104" s="335"/>
      <c r="C104" s="549" t="s">
        <v>82</v>
      </c>
      <c r="D104" s="539" t="s">
        <v>36</v>
      </c>
      <c r="E104" s="382">
        <v>5</v>
      </c>
      <c r="F104" s="657"/>
      <c r="G104" s="639"/>
      <c r="H104" s="639">
        <f t="shared" si="5"/>
        <v>0</v>
      </c>
      <c r="I104" s="640"/>
      <c r="J104" s="640">
        <f t="shared" si="4"/>
        <v>0</v>
      </c>
      <c r="K104" s="658"/>
    </row>
    <row r="105" spans="1:11" ht="15.75" x14ac:dyDescent="0.25">
      <c r="A105" s="379" t="s">
        <v>420</v>
      </c>
      <c r="B105" s="335"/>
      <c r="C105" s="483" t="s">
        <v>83</v>
      </c>
      <c r="D105" s="538" t="s">
        <v>60</v>
      </c>
      <c r="E105" s="520">
        <v>0.156</v>
      </c>
      <c r="F105" s="657"/>
      <c r="G105" s="639"/>
      <c r="H105" s="639"/>
      <c r="I105" s="640">
        <f t="shared" si="3"/>
        <v>0</v>
      </c>
      <c r="J105" s="640">
        <f t="shared" si="4"/>
        <v>0</v>
      </c>
      <c r="K105" s="658"/>
    </row>
    <row r="106" spans="1:11" ht="15.75" x14ac:dyDescent="0.25">
      <c r="A106" s="381" t="s">
        <v>468</v>
      </c>
      <c r="B106" s="335"/>
      <c r="C106" s="549" t="s">
        <v>84</v>
      </c>
      <c r="D106" s="539" t="s">
        <v>36</v>
      </c>
      <c r="E106" s="382">
        <v>1</v>
      </c>
      <c r="F106" s="657"/>
      <c r="G106" s="639"/>
      <c r="H106" s="639">
        <f t="shared" si="5"/>
        <v>0</v>
      </c>
      <c r="I106" s="640"/>
      <c r="J106" s="640">
        <f t="shared" si="4"/>
        <v>0</v>
      </c>
      <c r="K106" s="658"/>
    </row>
    <row r="107" spans="1:11" ht="15.75" x14ac:dyDescent="0.25">
      <c r="A107" s="381" t="s">
        <v>469</v>
      </c>
      <c r="B107" s="335"/>
      <c r="C107" s="549" t="s">
        <v>224</v>
      </c>
      <c r="D107" s="539" t="s">
        <v>36</v>
      </c>
      <c r="E107" s="382">
        <v>1</v>
      </c>
      <c r="F107" s="657"/>
      <c r="G107" s="639"/>
      <c r="H107" s="639">
        <f t="shared" si="5"/>
        <v>0</v>
      </c>
      <c r="I107" s="640"/>
      <c r="J107" s="640">
        <f t="shared" si="4"/>
        <v>0</v>
      </c>
      <c r="K107" s="658"/>
    </row>
    <row r="108" spans="1:11" ht="16.5" customHeight="1" x14ac:dyDescent="0.25">
      <c r="A108" s="379" t="s">
        <v>470</v>
      </c>
      <c r="B108" s="335"/>
      <c r="C108" s="483" t="s">
        <v>85</v>
      </c>
      <c r="D108" s="538" t="s">
        <v>36</v>
      </c>
      <c r="E108" s="380">
        <v>2</v>
      </c>
      <c r="F108" s="657"/>
      <c r="G108" s="639"/>
      <c r="H108" s="639"/>
      <c r="I108" s="640">
        <f t="shared" si="3"/>
        <v>0</v>
      </c>
      <c r="J108" s="640">
        <f t="shared" si="4"/>
        <v>0</v>
      </c>
      <c r="K108" s="658"/>
    </row>
    <row r="109" spans="1:11" ht="15.75" x14ac:dyDescent="0.25">
      <c r="A109" s="381" t="s">
        <v>471</v>
      </c>
      <c r="B109" s="335"/>
      <c r="C109" s="549" t="s">
        <v>87</v>
      </c>
      <c r="D109" s="539" t="s">
        <v>36</v>
      </c>
      <c r="E109" s="382">
        <v>2</v>
      </c>
      <c r="F109" s="657"/>
      <c r="G109" s="639"/>
      <c r="H109" s="639">
        <f t="shared" si="5"/>
        <v>0</v>
      </c>
      <c r="I109" s="640"/>
      <c r="J109" s="640">
        <f t="shared" si="4"/>
        <v>0</v>
      </c>
      <c r="K109" s="658"/>
    </row>
    <row r="110" spans="1:11" ht="15.75" x14ac:dyDescent="0.25">
      <c r="A110" s="381" t="s">
        <v>472</v>
      </c>
      <c r="B110" s="335"/>
      <c r="C110" s="549" t="s">
        <v>88</v>
      </c>
      <c r="D110" s="539" t="s">
        <v>36</v>
      </c>
      <c r="E110" s="382">
        <v>2</v>
      </c>
      <c r="F110" s="657"/>
      <c r="G110" s="639"/>
      <c r="H110" s="639">
        <f t="shared" si="5"/>
        <v>0</v>
      </c>
      <c r="I110" s="640"/>
      <c r="J110" s="640">
        <f t="shared" si="4"/>
        <v>0</v>
      </c>
      <c r="K110" s="658"/>
    </row>
    <row r="111" spans="1:11" ht="15.75" x14ac:dyDescent="0.25">
      <c r="A111" s="379" t="s">
        <v>473</v>
      </c>
      <c r="B111" s="335"/>
      <c r="C111" s="483" t="s">
        <v>89</v>
      </c>
      <c r="D111" s="538" t="s">
        <v>36</v>
      </c>
      <c r="E111" s="380">
        <v>2</v>
      </c>
      <c r="F111" s="657"/>
      <c r="G111" s="639"/>
      <c r="H111" s="639"/>
      <c r="I111" s="640">
        <f t="shared" si="3"/>
        <v>0</v>
      </c>
      <c r="J111" s="640">
        <f t="shared" si="4"/>
        <v>0</v>
      </c>
      <c r="K111" s="658"/>
    </row>
    <row r="112" spans="1:11" ht="15.75" x14ac:dyDescent="0.25">
      <c r="A112" s="381" t="s">
        <v>474</v>
      </c>
      <c r="B112" s="335"/>
      <c r="C112" s="549" t="s">
        <v>172</v>
      </c>
      <c r="D112" s="539" t="s">
        <v>36</v>
      </c>
      <c r="E112" s="382">
        <v>2</v>
      </c>
      <c r="F112" s="657"/>
      <c r="G112" s="639"/>
      <c r="H112" s="639">
        <f t="shared" si="5"/>
        <v>0</v>
      </c>
      <c r="I112" s="640"/>
      <c r="J112" s="640">
        <f t="shared" si="4"/>
        <v>0</v>
      </c>
      <c r="K112" s="658"/>
    </row>
    <row r="113" spans="1:11" ht="15.75" x14ac:dyDescent="0.25">
      <c r="A113" s="381" t="s">
        <v>475</v>
      </c>
      <c r="B113" s="335" t="s">
        <v>597</v>
      </c>
      <c r="C113" s="549" t="s">
        <v>173</v>
      </c>
      <c r="D113" s="539" t="s">
        <v>36</v>
      </c>
      <c r="E113" s="382">
        <v>2</v>
      </c>
      <c r="F113" s="657"/>
      <c r="G113" s="639"/>
      <c r="H113" s="639">
        <f t="shared" si="5"/>
        <v>0</v>
      </c>
      <c r="I113" s="640">
        <f t="shared" si="3"/>
        <v>0</v>
      </c>
      <c r="J113" s="640">
        <f t="shared" si="4"/>
        <v>0</v>
      </c>
      <c r="K113" s="658"/>
    </row>
    <row r="114" spans="1:11" ht="15.75" x14ac:dyDescent="0.25">
      <c r="A114" s="379" t="s">
        <v>476</v>
      </c>
      <c r="B114" s="335"/>
      <c r="C114" s="483" t="s">
        <v>174</v>
      </c>
      <c r="D114" s="538" t="s">
        <v>36</v>
      </c>
      <c r="E114" s="380">
        <v>3</v>
      </c>
      <c r="F114" s="657"/>
      <c r="G114" s="639"/>
      <c r="H114" s="639"/>
      <c r="I114" s="640">
        <f t="shared" si="3"/>
        <v>0</v>
      </c>
      <c r="J114" s="640">
        <f t="shared" si="4"/>
        <v>0</v>
      </c>
      <c r="K114" s="658"/>
    </row>
    <row r="115" spans="1:11" ht="15.75" x14ac:dyDescent="0.25">
      <c r="A115" s="381" t="s">
        <v>477</v>
      </c>
      <c r="B115" s="335"/>
      <c r="C115" s="549" t="s">
        <v>176</v>
      </c>
      <c r="D115" s="539" t="s">
        <v>36</v>
      </c>
      <c r="E115" s="382">
        <v>3</v>
      </c>
      <c r="F115" s="657"/>
      <c r="G115" s="639"/>
      <c r="H115" s="639">
        <f t="shared" si="5"/>
        <v>0</v>
      </c>
      <c r="I115" s="640"/>
      <c r="J115" s="640">
        <f t="shared" si="4"/>
        <v>0</v>
      </c>
      <c r="K115" s="658"/>
    </row>
    <row r="116" spans="1:11" ht="16.5" thickBot="1" x14ac:dyDescent="0.3">
      <c r="A116" s="381" t="s">
        <v>478</v>
      </c>
      <c r="B116" s="335"/>
      <c r="C116" s="549" t="s">
        <v>177</v>
      </c>
      <c r="D116" s="539" t="s">
        <v>36</v>
      </c>
      <c r="E116" s="382">
        <v>3</v>
      </c>
      <c r="F116" s="657"/>
      <c r="G116" s="639"/>
      <c r="H116" s="639">
        <f t="shared" si="5"/>
        <v>0</v>
      </c>
      <c r="I116" s="640"/>
      <c r="J116" s="640">
        <f t="shared" si="4"/>
        <v>0</v>
      </c>
      <c r="K116" s="658"/>
    </row>
    <row r="117" spans="1:11" ht="15.75" x14ac:dyDescent="0.25">
      <c r="A117" s="379" t="s">
        <v>479</v>
      </c>
      <c r="B117" s="335"/>
      <c r="C117" s="483" t="s">
        <v>98</v>
      </c>
      <c r="D117" s="538" t="s">
        <v>36</v>
      </c>
      <c r="E117" s="380">
        <v>2</v>
      </c>
      <c r="F117" s="657"/>
      <c r="G117" s="639"/>
      <c r="H117" s="639"/>
      <c r="I117" s="640">
        <f t="shared" si="3"/>
        <v>0</v>
      </c>
      <c r="J117" s="640">
        <f t="shared" si="4"/>
        <v>0</v>
      </c>
      <c r="K117" s="658"/>
    </row>
    <row r="118" spans="1:11" ht="15.75" x14ac:dyDescent="0.25">
      <c r="A118" s="381" t="s">
        <v>480</v>
      </c>
      <c r="B118" s="335"/>
      <c r="C118" s="549" t="s">
        <v>100</v>
      </c>
      <c r="D118" s="539" t="s">
        <v>36</v>
      </c>
      <c r="E118" s="382">
        <v>2</v>
      </c>
      <c r="F118" s="657"/>
      <c r="G118" s="639"/>
      <c r="H118" s="639">
        <f t="shared" si="5"/>
        <v>0</v>
      </c>
      <c r="I118" s="640"/>
      <c r="J118" s="640">
        <f t="shared" si="4"/>
        <v>0</v>
      </c>
      <c r="K118" s="658"/>
    </row>
    <row r="119" spans="1:11" ht="15.75" x14ac:dyDescent="0.25">
      <c r="A119" s="379" t="s">
        <v>481</v>
      </c>
      <c r="B119" s="335"/>
      <c r="C119" s="332" t="s">
        <v>222</v>
      </c>
      <c r="D119" s="538" t="s">
        <v>36</v>
      </c>
      <c r="E119" s="380">
        <v>1</v>
      </c>
      <c r="F119" s="657"/>
      <c r="G119" s="639"/>
      <c r="H119" s="639"/>
      <c r="I119" s="640">
        <f t="shared" si="3"/>
        <v>0</v>
      </c>
      <c r="J119" s="640">
        <f t="shared" si="4"/>
        <v>0</v>
      </c>
      <c r="K119" s="658"/>
    </row>
    <row r="120" spans="1:11" ht="30" x14ac:dyDescent="0.25">
      <c r="A120" s="381" t="s">
        <v>482</v>
      </c>
      <c r="B120" s="335"/>
      <c r="C120" s="336" t="s">
        <v>223</v>
      </c>
      <c r="D120" s="539" t="s">
        <v>36</v>
      </c>
      <c r="E120" s="382">
        <v>1</v>
      </c>
      <c r="F120" s="657"/>
      <c r="G120" s="639"/>
      <c r="H120" s="639">
        <f t="shared" si="5"/>
        <v>0</v>
      </c>
      <c r="I120" s="640"/>
      <c r="J120" s="640">
        <f t="shared" si="4"/>
        <v>0</v>
      </c>
      <c r="K120" s="658"/>
    </row>
    <row r="121" spans="1:11" ht="15.75" x14ac:dyDescent="0.25">
      <c r="A121" s="381" t="s">
        <v>483</v>
      </c>
      <c r="B121" s="335"/>
      <c r="C121" s="336" t="s">
        <v>284</v>
      </c>
      <c r="D121" s="539" t="s">
        <v>36</v>
      </c>
      <c r="E121" s="382">
        <v>1</v>
      </c>
      <c r="F121" s="657"/>
      <c r="G121" s="639"/>
      <c r="H121" s="639">
        <f t="shared" si="5"/>
        <v>0</v>
      </c>
      <c r="I121" s="640"/>
      <c r="J121" s="640">
        <f t="shared" si="4"/>
        <v>0</v>
      </c>
      <c r="K121" s="658"/>
    </row>
    <row r="122" spans="1:11" ht="15.75" x14ac:dyDescent="0.25">
      <c r="A122" s="381" t="s">
        <v>484</v>
      </c>
      <c r="B122" s="335"/>
      <c r="C122" s="336" t="s">
        <v>285</v>
      </c>
      <c r="D122" s="539" t="s">
        <v>36</v>
      </c>
      <c r="E122" s="382">
        <v>2</v>
      </c>
      <c r="F122" s="657"/>
      <c r="G122" s="639"/>
      <c r="H122" s="639">
        <f t="shared" si="5"/>
        <v>0</v>
      </c>
      <c r="I122" s="640"/>
      <c r="J122" s="640">
        <f t="shared" si="4"/>
        <v>0</v>
      </c>
      <c r="K122" s="658"/>
    </row>
    <row r="123" spans="1:11" ht="15.75" x14ac:dyDescent="0.25">
      <c r="A123" s="381" t="s">
        <v>485</v>
      </c>
      <c r="B123" s="335"/>
      <c r="C123" s="336" t="s">
        <v>286</v>
      </c>
      <c r="D123" s="539" t="s">
        <v>36</v>
      </c>
      <c r="E123" s="382">
        <v>1</v>
      </c>
      <c r="F123" s="657"/>
      <c r="G123" s="639"/>
      <c r="H123" s="639">
        <f t="shared" si="5"/>
        <v>0</v>
      </c>
      <c r="I123" s="640"/>
      <c r="J123" s="640">
        <f t="shared" si="4"/>
        <v>0</v>
      </c>
      <c r="K123" s="658"/>
    </row>
    <row r="124" spans="1:11" ht="15.75" x14ac:dyDescent="0.25">
      <c r="A124" s="381" t="s">
        <v>486</v>
      </c>
      <c r="B124" s="335"/>
      <c r="C124" s="336" t="s">
        <v>287</v>
      </c>
      <c r="D124" s="539" t="s">
        <v>36</v>
      </c>
      <c r="E124" s="382">
        <v>1</v>
      </c>
      <c r="F124" s="657"/>
      <c r="G124" s="639"/>
      <c r="H124" s="639">
        <f t="shared" si="5"/>
        <v>0</v>
      </c>
      <c r="I124" s="640"/>
      <c r="J124" s="640">
        <f t="shared" si="4"/>
        <v>0</v>
      </c>
      <c r="K124" s="658"/>
    </row>
    <row r="125" spans="1:11" ht="15.75" x14ac:dyDescent="0.25">
      <c r="A125" s="381" t="s">
        <v>487</v>
      </c>
      <c r="B125" s="335"/>
      <c r="C125" s="336" t="s">
        <v>288</v>
      </c>
      <c r="D125" s="539" t="s">
        <v>36</v>
      </c>
      <c r="E125" s="382">
        <v>1</v>
      </c>
      <c r="F125" s="657"/>
      <c r="G125" s="639"/>
      <c r="H125" s="639">
        <f t="shared" si="5"/>
        <v>0</v>
      </c>
      <c r="I125" s="640"/>
      <c r="J125" s="640">
        <f t="shared" si="4"/>
        <v>0</v>
      </c>
      <c r="K125" s="658"/>
    </row>
    <row r="126" spans="1:11" ht="15.75" x14ac:dyDescent="0.25">
      <c r="A126" s="379" t="s">
        <v>488</v>
      </c>
      <c r="B126" s="335"/>
      <c r="C126" s="483" t="s">
        <v>105</v>
      </c>
      <c r="D126" s="538" t="s">
        <v>25</v>
      </c>
      <c r="E126" s="520">
        <f>E96+E20</f>
        <v>81.900000000000006</v>
      </c>
      <c r="F126" s="657"/>
      <c r="G126" s="639"/>
      <c r="H126" s="639"/>
      <c r="I126" s="640">
        <f t="shared" si="3"/>
        <v>0</v>
      </c>
      <c r="J126" s="640">
        <f t="shared" si="4"/>
        <v>0</v>
      </c>
      <c r="K126" s="658"/>
    </row>
    <row r="127" spans="1:11" ht="16.5" thickBot="1" x14ac:dyDescent="0.3">
      <c r="A127" s="420" t="s">
        <v>489</v>
      </c>
      <c r="B127" s="421"/>
      <c r="C127" s="551" t="s">
        <v>442</v>
      </c>
      <c r="D127" s="552" t="s">
        <v>25</v>
      </c>
      <c r="E127" s="535">
        <f>E126</f>
        <v>81.900000000000006</v>
      </c>
      <c r="F127" s="657"/>
      <c r="G127" s="639"/>
      <c r="H127" s="639"/>
      <c r="I127" s="640">
        <f t="shared" si="3"/>
        <v>0</v>
      </c>
      <c r="J127" s="640">
        <f t="shared" si="4"/>
        <v>0</v>
      </c>
      <c r="K127" s="658"/>
    </row>
    <row r="128" spans="1:11" s="631" customFormat="1" ht="15.75" x14ac:dyDescent="0.25">
      <c r="A128" s="667"/>
      <c r="B128" s="675"/>
      <c r="C128" s="675" t="s">
        <v>598</v>
      </c>
      <c r="D128" s="668"/>
      <c r="E128" s="670"/>
      <c r="F128" s="667"/>
      <c r="G128" s="668"/>
      <c r="H128" s="668"/>
      <c r="I128" s="668"/>
      <c r="J128" s="669">
        <f>SUM(J11:J127)</f>
        <v>0</v>
      </c>
      <c r="K128" s="670"/>
    </row>
    <row r="129" spans="1:34" s="631" customFormat="1" ht="15.75" thickBot="1" x14ac:dyDescent="0.25">
      <c r="A129" s="671"/>
      <c r="B129" s="663"/>
      <c r="C129" s="663" t="s">
        <v>599</v>
      </c>
      <c r="D129" s="672"/>
      <c r="E129" s="674"/>
      <c r="F129" s="671"/>
      <c r="G129" s="672"/>
      <c r="H129" s="672"/>
      <c r="I129" s="672"/>
      <c r="J129" s="673">
        <f>J128/6</f>
        <v>0</v>
      </c>
      <c r="K129" s="674"/>
    </row>
    <row r="130" spans="1:34" ht="15.75" customHeight="1" x14ac:dyDescent="0.25">
      <c r="A130" s="692"/>
      <c r="B130" s="692"/>
      <c r="C130" s="692"/>
      <c r="D130" s="692"/>
      <c r="E130" s="692"/>
      <c r="F130" s="692"/>
      <c r="G130" s="692"/>
      <c r="H130" s="487"/>
      <c r="I130" s="487"/>
      <c r="J130" s="487"/>
      <c r="K130" s="487"/>
      <c r="L130" s="487"/>
      <c r="M130" s="692" t="s">
        <v>600</v>
      </c>
      <c r="N130" s="692"/>
      <c r="O130" s="692"/>
      <c r="P130" s="692"/>
      <c r="Q130" s="692"/>
      <c r="R130" s="692"/>
      <c r="S130" s="692"/>
      <c r="T130" s="692"/>
      <c r="U130" s="692"/>
      <c r="V130" s="692"/>
      <c r="W130" s="631"/>
      <c r="X130" s="631"/>
      <c r="Y130" s="631"/>
      <c r="Z130" s="490"/>
      <c r="AA130" s="490"/>
      <c r="AB130" s="489"/>
      <c r="AC130" s="490"/>
      <c r="AD130" s="490"/>
      <c r="AE130" s="489"/>
      <c r="AF130" s="491"/>
      <c r="AG130" s="491"/>
      <c r="AH130" s="491"/>
    </row>
    <row r="131" spans="1:34" x14ac:dyDescent="0.2">
      <c r="M131" s="664"/>
      <c r="N131" s="664"/>
      <c r="O131" s="664"/>
      <c r="P131" s="665"/>
      <c r="Q131" s="665"/>
      <c r="R131" s="666"/>
      <c r="S131" s="666"/>
      <c r="T131" s="666"/>
      <c r="U131" s="666"/>
      <c r="V131" s="666"/>
      <c r="W131" s="631"/>
      <c r="X131" s="631"/>
      <c r="Y131" s="631"/>
    </row>
    <row r="132" spans="1:34" x14ac:dyDescent="0.2">
      <c r="M132" s="664"/>
      <c r="N132" s="664"/>
      <c r="O132" s="664"/>
      <c r="P132" s="665"/>
      <c r="Q132" s="665"/>
      <c r="R132" s="666"/>
      <c r="S132" s="666"/>
      <c r="T132" s="666"/>
      <c r="U132" s="666"/>
      <c r="V132" s="666"/>
      <c r="W132" s="631"/>
      <c r="X132" s="631"/>
      <c r="Y132" s="631"/>
    </row>
    <row r="133" spans="1:34" x14ac:dyDescent="0.2">
      <c r="M133" s="664"/>
      <c r="N133" s="664"/>
      <c r="O133" s="664"/>
      <c r="P133" s="665"/>
      <c r="Q133" s="665"/>
      <c r="R133" s="666"/>
      <c r="S133" s="666"/>
      <c r="T133" s="666"/>
      <c r="U133" s="666"/>
      <c r="V133" s="666"/>
      <c r="W133" s="631"/>
      <c r="X133" s="631"/>
      <c r="Y133" s="631"/>
    </row>
    <row r="134" spans="1:34" x14ac:dyDescent="0.2">
      <c r="M134" s="664"/>
      <c r="N134" s="664"/>
      <c r="O134" s="664"/>
      <c r="P134" s="665"/>
      <c r="Q134" s="665"/>
      <c r="R134" s="666"/>
      <c r="S134" s="666"/>
      <c r="T134" s="666"/>
      <c r="U134" s="666"/>
      <c r="V134" s="666"/>
      <c r="W134" s="631"/>
      <c r="X134" s="631"/>
      <c r="Y134" s="631"/>
    </row>
    <row r="135" spans="1:34" x14ac:dyDescent="0.2">
      <c r="M135" s="631"/>
      <c r="N135" s="631"/>
      <c r="O135" s="631"/>
      <c r="P135" s="631"/>
      <c r="Q135" s="631"/>
      <c r="R135" s="631"/>
      <c r="S135" s="631"/>
      <c r="T135" s="631"/>
      <c r="U135" s="631"/>
      <c r="V135" s="631"/>
      <c r="W135" s="631"/>
      <c r="X135" s="631"/>
      <c r="Y135" s="631"/>
    </row>
    <row r="136" spans="1:34" x14ac:dyDescent="0.2">
      <c r="M136" s="631"/>
      <c r="N136" s="631"/>
      <c r="O136" s="631"/>
      <c r="P136" s="631"/>
      <c r="Q136" s="631"/>
      <c r="R136" s="631"/>
      <c r="S136" s="631"/>
      <c r="T136" s="631"/>
      <c r="U136" s="631"/>
      <c r="V136" s="631"/>
      <c r="W136" s="631"/>
      <c r="X136" s="631"/>
      <c r="Y136" s="631"/>
    </row>
  </sheetData>
  <autoFilter ref="A9:E130" xr:uid="{2CEBBF08-7017-4F0E-BCF6-C10BDC34B791}"/>
  <mergeCells count="12">
    <mergeCell ref="H7:J7"/>
    <mergeCell ref="K7:K8"/>
    <mergeCell ref="A7:A8"/>
    <mergeCell ref="C7:C8"/>
    <mergeCell ref="D7:D8"/>
    <mergeCell ref="E7:E8"/>
    <mergeCell ref="A4:F4"/>
    <mergeCell ref="A5:F5"/>
    <mergeCell ref="A6:G6"/>
    <mergeCell ref="F7:G7"/>
    <mergeCell ref="A130:G130"/>
    <mergeCell ref="M130:V130"/>
  </mergeCells>
  <conditionalFormatting sqref="X129:AH130">
    <cfRule type="cellIs" dxfId="7" priority="1" operator="lessThan">
      <formula>0</formula>
    </cfRule>
  </conditionalFormatting>
  <pageMargins left="0.31496062992125984" right="0.31496062992125984" top="0.55118110236220474" bottom="0.35433070866141736" header="0.31496062992125984" footer="0.31496062992125984"/>
  <pageSetup paperSize="9" scale="2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8E1B2-E8C2-4C83-A3ED-C4A82D1C5FCD}">
  <dimension ref="A1:P127"/>
  <sheetViews>
    <sheetView view="pageBreakPreview" topLeftCell="A35" zoomScale="85" zoomScaleNormal="100" zoomScaleSheetLayoutView="85" workbookViewId="0">
      <selection activeCell="C53" sqref="C53:D58"/>
    </sheetView>
  </sheetViews>
  <sheetFormatPr defaultColWidth="9.140625" defaultRowHeight="15" x14ac:dyDescent="0.25"/>
  <cols>
    <col min="1" max="1" width="6" style="1" customWidth="1"/>
    <col min="2" max="2" width="17.7109375" style="1" customWidth="1"/>
    <col min="3" max="3" width="65.140625" style="1" customWidth="1"/>
    <col min="4" max="4" width="5.140625" style="1" customWidth="1"/>
    <col min="5" max="6" width="9.140625" style="1"/>
    <col min="7" max="7" width="12.85546875" style="2" customWidth="1"/>
    <col min="8" max="8" width="11.140625" style="2" customWidth="1"/>
    <col min="9" max="9" width="18.5703125" style="2" customWidth="1"/>
    <col min="10" max="10" width="19" style="2" customWidth="1"/>
    <col min="11" max="11" width="9.140625" style="3"/>
    <col min="12" max="12" width="14.85546875" style="3" customWidth="1"/>
    <col min="13" max="14" width="11.42578125" style="3" bestFit="1" customWidth="1"/>
    <col min="15" max="16384" width="9.140625" style="3"/>
  </cols>
  <sheetData>
    <row r="1" spans="1:16" x14ac:dyDescent="0.25">
      <c r="I1" s="730" t="s">
        <v>68</v>
      </c>
      <c r="J1" s="730"/>
    </row>
    <row r="2" spans="1:16" ht="15" customHeight="1" x14ac:dyDescent="0.25">
      <c r="B2" s="1" t="s">
        <v>1</v>
      </c>
      <c r="C2" s="4" t="s">
        <v>2</v>
      </c>
      <c r="G2" s="730"/>
      <c r="H2" s="730"/>
      <c r="I2" s="730"/>
      <c r="J2" s="730"/>
    </row>
    <row r="3" spans="1:16" ht="15" customHeight="1" x14ac:dyDescent="0.25">
      <c r="G3" s="107"/>
      <c r="H3" s="107"/>
      <c r="I3" s="107"/>
      <c r="J3" s="107"/>
    </row>
    <row r="4" spans="1:16" ht="15" customHeight="1" x14ac:dyDescent="0.25">
      <c r="G4" s="107"/>
      <c r="H4" s="107"/>
      <c r="I4" s="107"/>
      <c r="J4" s="107"/>
    </row>
    <row r="5" spans="1:16" ht="15" customHeight="1" x14ac:dyDescent="0.25">
      <c r="A5" s="705" t="s">
        <v>3</v>
      </c>
      <c r="B5" s="705"/>
      <c r="C5" s="705"/>
      <c r="D5" s="705"/>
      <c r="E5" s="705"/>
      <c r="F5" s="705"/>
      <c r="G5" s="705"/>
      <c r="H5" s="705"/>
      <c r="I5" s="705"/>
      <c r="J5" s="705"/>
    </row>
    <row r="6" spans="1:16" ht="22.5" customHeight="1" x14ac:dyDescent="0.25">
      <c r="A6" s="706" t="s">
        <v>69</v>
      </c>
      <c r="B6" s="706"/>
      <c r="C6" s="706"/>
      <c r="D6" s="706"/>
      <c r="E6" s="706"/>
      <c r="F6" s="706"/>
      <c r="G6" s="706"/>
      <c r="H6" s="706"/>
      <c r="I6" s="706"/>
      <c r="J6" s="706"/>
    </row>
    <row r="7" spans="1:16" ht="33" customHeight="1" x14ac:dyDescent="0.25">
      <c r="A7" s="731" t="s">
        <v>67</v>
      </c>
      <c r="B7" s="731"/>
      <c r="C7" s="731"/>
      <c r="D7" s="731"/>
      <c r="E7" s="731"/>
      <c r="F7" s="731"/>
      <c r="G7" s="731"/>
      <c r="H7" s="731"/>
      <c r="I7" s="731"/>
      <c r="J7" s="731"/>
    </row>
    <row r="8" spans="1:16" s="5" customFormat="1" ht="15.75" thickBot="1" x14ac:dyDescent="0.3">
      <c r="A8" s="1"/>
      <c r="B8" s="1"/>
      <c r="C8" s="4"/>
      <c r="D8" s="1"/>
      <c r="E8" s="1"/>
      <c r="F8" s="1"/>
      <c r="G8" s="2"/>
      <c r="H8" s="2"/>
      <c r="I8" s="2"/>
      <c r="J8" s="2"/>
    </row>
    <row r="9" spans="1:16" s="5" customFormat="1" ht="15" customHeight="1" x14ac:dyDescent="0.25">
      <c r="A9" s="702" t="s">
        <v>4</v>
      </c>
      <c r="B9" s="109" t="s">
        <v>5</v>
      </c>
      <c r="C9" s="702" t="s">
        <v>6</v>
      </c>
      <c r="D9" s="702" t="s">
        <v>7</v>
      </c>
      <c r="E9" s="702" t="s">
        <v>8</v>
      </c>
      <c r="F9" s="732" t="s">
        <v>229</v>
      </c>
      <c r="G9" s="728" t="s">
        <v>9</v>
      </c>
      <c r="H9" s="729"/>
      <c r="I9" s="728" t="s">
        <v>10</v>
      </c>
      <c r="J9" s="729"/>
    </row>
    <row r="10" spans="1:16" ht="15.75" thickBot="1" x14ac:dyDescent="0.3">
      <c r="A10" s="703"/>
      <c r="B10" s="110" t="s">
        <v>11</v>
      </c>
      <c r="C10" s="704"/>
      <c r="D10" s="704"/>
      <c r="E10" s="704"/>
      <c r="F10" s="733"/>
      <c r="G10" s="6" t="s">
        <v>12</v>
      </c>
      <c r="H10" s="7" t="s">
        <v>13</v>
      </c>
      <c r="I10" s="6" t="s">
        <v>12</v>
      </c>
      <c r="J10" s="7" t="s">
        <v>13</v>
      </c>
    </row>
    <row r="11" spans="1:16" ht="15.75" thickBot="1" x14ac:dyDescent="0.3">
      <c r="A11" s="8"/>
      <c r="B11" s="9"/>
      <c r="C11" s="8"/>
      <c r="D11" s="10"/>
      <c r="E11" s="10"/>
      <c r="F11" s="222"/>
      <c r="G11" s="108"/>
      <c r="H11" s="108"/>
      <c r="I11" s="108"/>
      <c r="J11" s="11"/>
    </row>
    <row r="12" spans="1:16" ht="15.75" thickBot="1" x14ac:dyDescent="0.3">
      <c r="A12" s="206"/>
      <c r="B12" s="207" t="s">
        <v>14</v>
      </c>
      <c r="C12" s="294" t="s">
        <v>70</v>
      </c>
      <c r="D12" s="295"/>
      <c r="E12" s="295"/>
      <c r="F12" s="297"/>
      <c r="G12" s="208"/>
      <c r="H12" s="208"/>
      <c r="I12" s="208"/>
      <c r="J12" s="209"/>
      <c r="O12" s="3" t="s">
        <v>218</v>
      </c>
      <c r="P12" s="171">
        <v>0.97</v>
      </c>
    </row>
    <row r="13" spans="1:16" ht="42.75" x14ac:dyDescent="0.25">
      <c r="A13" s="112" t="s">
        <v>21</v>
      </c>
      <c r="B13" s="158" t="s">
        <v>15</v>
      </c>
      <c r="C13" s="189" t="s">
        <v>71</v>
      </c>
      <c r="D13" s="157" t="s">
        <v>16</v>
      </c>
      <c r="E13" s="287">
        <v>220</v>
      </c>
      <c r="F13" s="228">
        <f>189.18-F14</f>
        <v>183.72</v>
      </c>
      <c r="G13" s="197"/>
      <c r="H13" s="115">
        <v>0</v>
      </c>
      <c r="I13" s="34"/>
      <c r="J13" s="115">
        <f t="shared" ref="J13:J19" si="0">E13*H13</f>
        <v>0</v>
      </c>
      <c r="L13" s="3">
        <f>183.88+5.288</f>
        <v>189.16800000000001</v>
      </c>
      <c r="N13" s="3" t="s">
        <v>217</v>
      </c>
      <c r="O13" s="3">
        <v>226.54</v>
      </c>
      <c r="P13" s="3">
        <f>O13*97%</f>
        <v>219.74379999999999</v>
      </c>
    </row>
    <row r="14" spans="1:16" ht="28.5" x14ac:dyDescent="0.25">
      <c r="A14" s="54" t="s">
        <v>22</v>
      </c>
      <c r="B14" s="178" t="s">
        <v>15</v>
      </c>
      <c r="C14" s="190" t="s">
        <v>73</v>
      </c>
      <c r="D14" s="182" t="s">
        <v>16</v>
      </c>
      <c r="E14" s="288">
        <v>6.54</v>
      </c>
      <c r="F14" s="229">
        <v>5.46</v>
      </c>
      <c r="G14" s="121"/>
      <c r="H14" s="195">
        <v>0</v>
      </c>
      <c r="I14" s="92"/>
      <c r="J14" s="125">
        <f t="shared" si="0"/>
        <v>0</v>
      </c>
      <c r="N14" s="3" t="s">
        <v>219</v>
      </c>
      <c r="O14" s="3">
        <v>3.45</v>
      </c>
    </row>
    <row r="15" spans="1:16" ht="28.5" x14ac:dyDescent="0.25">
      <c r="A15" s="54" t="s">
        <v>24</v>
      </c>
      <c r="B15" s="178" t="s">
        <v>15</v>
      </c>
      <c r="C15" s="190" t="s">
        <v>220</v>
      </c>
      <c r="D15" s="182" t="s">
        <v>16</v>
      </c>
      <c r="E15" s="288">
        <f>(5*5+3*5)*0.11</f>
        <v>4.4000000000000004</v>
      </c>
      <c r="F15" s="229">
        <v>4.4000000000000004</v>
      </c>
      <c r="G15" s="121"/>
      <c r="H15" s="195">
        <v>0</v>
      </c>
      <c r="I15" s="92"/>
      <c r="J15" s="125">
        <f t="shared" si="0"/>
        <v>0</v>
      </c>
    </row>
    <row r="16" spans="1:16" ht="28.5" x14ac:dyDescent="0.25">
      <c r="A16" s="54" t="s">
        <v>28</v>
      </c>
      <c r="B16" s="178" t="s">
        <v>15</v>
      </c>
      <c r="C16" s="183" t="s">
        <v>221</v>
      </c>
      <c r="D16" s="182" t="s">
        <v>16</v>
      </c>
      <c r="E16" s="288">
        <f>(5*5+3*5)*0.22</f>
        <v>8.8000000000000007</v>
      </c>
      <c r="F16" s="229">
        <v>8.8000000000000007</v>
      </c>
      <c r="G16" s="121"/>
      <c r="H16" s="195">
        <v>0</v>
      </c>
      <c r="I16" s="92"/>
      <c r="J16" s="125">
        <f t="shared" si="0"/>
        <v>0</v>
      </c>
    </row>
    <row r="17" spans="1:10" ht="42.75" x14ac:dyDescent="0.25">
      <c r="A17" s="439" t="s">
        <v>32</v>
      </c>
      <c r="B17" s="440" t="s">
        <v>15</v>
      </c>
      <c r="C17" s="441" t="s">
        <v>71</v>
      </c>
      <c r="D17" s="182" t="s">
        <v>16</v>
      </c>
      <c r="E17" s="182">
        <v>171</v>
      </c>
      <c r="F17" s="229">
        <v>0</v>
      </c>
      <c r="G17" s="121"/>
      <c r="H17" s="195">
        <v>0</v>
      </c>
      <c r="I17" s="92"/>
      <c r="J17" s="125">
        <f t="shared" si="0"/>
        <v>0</v>
      </c>
    </row>
    <row r="18" spans="1:10" ht="28.5" x14ac:dyDescent="0.25">
      <c r="A18" s="439" t="s">
        <v>37</v>
      </c>
      <c r="B18" s="440" t="s">
        <v>15</v>
      </c>
      <c r="C18" s="441" t="s">
        <v>72</v>
      </c>
      <c r="D18" s="182" t="s">
        <v>16</v>
      </c>
      <c r="E18" s="182">
        <v>20</v>
      </c>
      <c r="F18" s="229">
        <v>0</v>
      </c>
      <c r="G18" s="121"/>
      <c r="H18" s="195">
        <v>0</v>
      </c>
      <c r="I18" s="92"/>
      <c r="J18" s="125">
        <f t="shared" si="0"/>
        <v>0</v>
      </c>
    </row>
    <row r="19" spans="1:10" ht="28.5" x14ac:dyDescent="0.25">
      <c r="A19" s="54" t="s">
        <v>43</v>
      </c>
      <c r="B19" s="178" t="s">
        <v>15</v>
      </c>
      <c r="C19" s="190" t="s">
        <v>74</v>
      </c>
      <c r="D19" s="182" t="s">
        <v>16</v>
      </c>
      <c r="E19" s="119">
        <f>21.9*0.2*0.7</f>
        <v>3.0659999999999998</v>
      </c>
      <c r="F19" s="277">
        <v>4.3600000000000003</v>
      </c>
      <c r="G19" s="121"/>
      <c r="H19" s="195">
        <v>0</v>
      </c>
      <c r="I19" s="92"/>
      <c r="J19" s="125">
        <f t="shared" si="0"/>
        <v>0</v>
      </c>
    </row>
    <row r="20" spans="1:10" x14ac:dyDescent="0.25">
      <c r="A20" s="46" t="s">
        <v>45</v>
      </c>
      <c r="B20" s="179" t="s">
        <v>17</v>
      </c>
      <c r="C20" s="191" t="s">
        <v>75</v>
      </c>
      <c r="D20" s="186" t="s">
        <v>16</v>
      </c>
      <c r="E20" s="120">
        <f>E19*1.1</f>
        <v>3.3726000000000003</v>
      </c>
      <c r="F20" s="298">
        <f>F19*1.1</f>
        <v>4.7960000000000012</v>
      </c>
      <c r="G20" s="122"/>
      <c r="H20" s="196"/>
      <c r="I20" s="19">
        <f>E20*G20</f>
        <v>0</v>
      </c>
      <c r="J20" s="200"/>
    </row>
    <row r="21" spans="1:10" ht="28.5" x14ac:dyDescent="0.25">
      <c r="A21" s="46"/>
      <c r="B21" s="178" t="s">
        <v>15</v>
      </c>
      <c r="C21" s="191" t="s">
        <v>282</v>
      </c>
      <c r="D21" s="186" t="s">
        <v>16</v>
      </c>
      <c r="E21" s="120"/>
      <c r="F21" s="442">
        <f>F22/1.25</f>
        <v>0.77439999999999998</v>
      </c>
      <c r="G21" s="122"/>
      <c r="H21" s="196"/>
      <c r="I21" s="19"/>
      <c r="J21" s="200"/>
    </row>
    <row r="22" spans="1:10" x14ac:dyDescent="0.25">
      <c r="A22" s="46"/>
      <c r="B22" s="179" t="s">
        <v>17</v>
      </c>
      <c r="C22" s="191" t="s">
        <v>283</v>
      </c>
      <c r="D22" s="186" t="s">
        <v>16</v>
      </c>
      <c r="E22" s="120"/>
      <c r="F22" s="442">
        <v>0.96799999999999997</v>
      </c>
      <c r="G22" s="122"/>
      <c r="H22" s="196"/>
      <c r="I22" s="19"/>
      <c r="J22" s="200"/>
    </row>
    <row r="23" spans="1:10" ht="28.5" x14ac:dyDescent="0.25">
      <c r="A23" s="54" t="s">
        <v>52</v>
      </c>
      <c r="B23" s="178" t="s">
        <v>15</v>
      </c>
      <c r="C23" s="190" t="s">
        <v>76</v>
      </c>
      <c r="D23" s="182" t="s">
        <v>25</v>
      </c>
      <c r="E23" s="289">
        <v>26.9</v>
      </c>
      <c r="F23" s="229">
        <v>26.9</v>
      </c>
      <c r="G23" s="121"/>
      <c r="H23" s="195">
        <v>0</v>
      </c>
      <c r="I23" s="92"/>
      <c r="J23" s="125">
        <f>E23*H23</f>
        <v>0</v>
      </c>
    </row>
    <row r="24" spans="1:10" ht="47.25" customHeight="1" x14ac:dyDescent="0.25">
      <c r="A24" s="46" t="s">
        <v>80</v>
      </c>
      <c r="B24" s="179" t="s">
        <v>17</v>
      </c>
      <c r="C24" s="191" t="s">
        <v>77</v>
      </c>
      <c r="D24" s="186" t="s">
        <v>25</v>
      </c>
      <c r="E24" s="120">
        <f>E23*1.025</f>
        <v>27.572499999999994</v>
      </c>
      <c r="F24" s="298">
        <f>F23*1.025</f>
        <v>27.572499999999994</v>
      </c>
      <c r="G24" s="122"/>
      <c r="H24" s="196"/>
      <c r="I24" s="19"/>
      <c r="J24" s="200"/>
    </row>
    <row r="25" spans="1:10" x14ac:dyDescent="0.25">
      <c r="A25" s="46" t="s">
        <v>42</v>
      </c>
      <c r="B25" s="179" t="s">
        <v>17</v>
      </c>
      <c r="C25" s="191" t="s">
        <v>94</v>
      </c>
      <c r="D25" s="186" t="s">
        <v>36</v>
      </c>
      <c r="E25" s="438">
        <v>6</v>
      </c>
      <c r="F25" s="443">
        <v>6</v>
      </c>
      <c r="G25" s="122"/>
      <c r="H25" s="196"/>
      <c r="I25" s="19">
        <f>E25*G25</f>
        <v>0</v>
      </c>
      <c r="J25" s="196"/>
    </row>
    <row r="26" spans="1:10" x14ac:dyDescent="0.25">
      <c r="A26" s="46" t="s">
        <v>144</v>
      </c>
      <c r="B26" s="179" t="s">
        <v>17</v>
      </c>
      <c r="C26" s="191" t="s">
        <v>95</v>
      </c>
      <c r="D26" s="186" t="s">
        <v>36</v>
      </c>
      <c r="E26" s="438">
        <v>6</v>
      </c>
      <c r="F26" s="299">
        <f>6</f>
        <v>6</v>
      </c>
      <c r="G26" s="122"/>
      <c r="H26" s="196"/>
      <c r="I26" s="19">
        <f>E26*G26</f>
        <v>0</v>
      </c>
      <c r="J26" s="196"/>
    </row>
    <row r="27" spans="1:10" x14ac:dyDescent="0.25">
      <c r="A27" s="46" t="s">
        <v>145</v>
      </c>
      <c r="B27" s="179" t="s">
        <v>17</v>
      </c>
      <c r="C27" s="191" t="s">
        <v>96</v>
      </c>
      <c r="D27" s="186" t="s">
        <v>36</v>
      </c>
      <c r="E27" s="438">
        <v>3</v>
      </c>
      <c r="F27" s="299">
        <v>3</v>
      </c>
      <c r="G27" s="122"/>
      <c r="H27" s="196"/>
      <c r="I27" s="19">
        <f>E27*G27</f>
        <v>0</v>
      </c>
      <c r="J27" s="196"/>
    </row>
    <row r="28" spans="1:10" ht="28.5" x14ac:dyDescent="0.25">
      <c r="A28" s="172" t="s">
        <v>54</v>
      </c>
      <c r="B28" s="180" t="s">
        <v>15</v>
      </c>
      <c r="C28" s="192" t="s">
        <v>78</v>
      </c>
      <c r="D28" s="187" t="s">
        <v>36</v>
      </c>
      <c r="E28" s="291">
        <v>2</v>
      </c>
      <c r="F28" s="229">
        <v>2</v>
      </c>
      <c r="G28" s="176"/>
      <c r="H28" s="198">
        <v>0</v>
      </c>
      <c r="I28" s="174"/>
      <c r="J28" s="201">
        <f>E28*H28</f>
        <v>0</v>
      </c>
    </row>
    <row r="29" spans="1:10" x14ac:dyDescent="0.25">
      <c r="A29" s="175" t="s">
        <v>56</v>
      </c>
      <c r="B29" s="181" t="s">
        <v>17</v>
      </c>
      <c r="C29" s="193" t="s">
        <v>79</v>
      </c>
      <c r="D29" s="188" t="s">
        <v>36</v>
      </c>
      <c r="E29" s="292">
        <v>2</v>
      </c>
      <c r="F29" s="299">
        <v>2</v>
      </c>
      <c r="G29" s="176"/>
      <c r="H29" s="198"/>
      <c r="I29" s="177">
        <f>E29*G29</f>
        <v>0</v>
      </c>
      <c r="J29" s="198"/>
    </row>
    <row r="30" spans="1:10" ht="28.5" x14ac:dyDescent="0.25">
      <c r="A30" s="172" t="s">
        <v>57</v>
      </c>
      <c r="B30" s="180" t="s">
        <v>15</v>
      </c>
      <c r="C30" s="192" t="s">
        <v>81</v>
      </c>
      <c r="D30" s="187" t="s">
        <v>36</v>
      </c>
      <c r="E30" s="291">
        <v>5</v>
      </c>
      <c r="F30" s="229">
        <v>2</v>
      </c>
      <c r="G30" s="176"/>
      <c r="H30" s="198">
        <v>0</v>
      </c>
      <c r="I30" s="174"/>
      <c r="J30" s="201">
        <f>E30*H30</f>
        <v>0</v>
      </c>
    </row>
    <row r="31" spans="1:10" x14ac:dyDescent="0.25">
      <c r="A31" s="175" t="s">
        <v>58</v>
      </c>
      <c r="B31" s="181" t="s">
        <v>17</v>
      </c>
      <c r="C31" s="193" t="s">
        <v>82</v>
      </c>
      <c r="D31" s="188" t="s">
        <v>36</v>
      </c>
      <c r="E31" s="292">
        <v>5</v>
      </c>
      <c r="F31" s="299">
        <v>2</v>
      </c>
      <c r="G31" s="176"/>
      <c r="H31" s="198"/>
      <c r="I31" s="177">
        <f>E31*G31</f>
        <v>0</v>
      </c>
      <c r="J31" s="201"/>
    </row>
    <row r="32" spans="1:10" ht="28.5" x14ac:dyDescent="0.25">
      <c r="A32" s="175" t="s">
        <v>86</v>
      </c>
      <c r="B32" s="180" t="s">
        <v>15</v>
      </c>
      <c r="C32" s="192" t="s">
        <v>83</v>
      </c>
      <c r="D32" s="187" t="s">
        <v>60</v>
      </c>
      <c r="E32" s="291">
        <f>0.13+0.026</f>
        <v>0.156</v>
      </c>
      <c r="F32" s="229">
        <v>0.156</v>
      </c>
      <c r="G32" s="176"/>
      <c r="H32" s="198">
        <v>0</v>
      </c>
      <c r="I32" s="174"/>
      <c r="J32" s="201">
        <f>E32*H32</f>
        <v>0</v>
      </c>
    </row>
    <row r="33" spans="1:10" x14ac:dyDescent="0.25">
      <c r="A33" s="175" t="s">
        <v>91</v>
      </c>
      <c r="B33" s="181" t="s">
        <v>17</v>
      </c>
      <c r="C33" s="193" t="s">
        <v>84</v>
      </c>
      <c r="D33" s="188" t="s">
        <v>36</v>
      </c>
      <c r="E33" s="292">
        <v>1</v>
      </c>
      <c r="F33" s="299">
        <v>1</v>
      </c>
      <c r="G33" s="176"/>
      <c r="H33" s="199"/>
      <c r="I33" s="177">
        <f>E33*G33</f>
        <v>0</v>
      </c>
      <c r="J33" s="202"/>
    </row>
    <row r="34" spans="1:10" x14ac:dyDescent="0.25">
      <c r="A34" s="175" t="s">
        <v>92</v>
      </c>
      <c r="B34" s="181" t="s">
        <v>17</v>
      </c>
      <c r="C34" s="193" t="s">
        <v>224</v>
      </c>
      <c r="D34" s="188" t="s">
        <v>36</v>
      </c>
      <c r="E34" s="292">
        <v>1</v>
      </c>
      <c r="F34" s="299">
        <v>1</v>
      </c>
      <c r="G34" s="176"/>
      <c r="H34" s="199"/>
      <c r="I34" s="177">
        <f>E34*G34</f>
        <v>0</v>
      </c>
      <c r="J34" s="202"/>
    </row>
    <row r="35" spans="1:10" ht="35.25" customHeight="1" x14ac:dyDescent="0.25">
      <c r="A35" s="81" t="s">
        <v>90</v>
      </c>
      <c r="B35" s="154" t="s">
        <v>15</v>
      </c>
      <c r="C35" s="183" t="s">
        <v>85</v>
      </c>
      <c r="D35" s="435" t="s">
        <v>36</v>
      </c>
      <c r="E35" s="436">
        <v>2</v>
      </c>
      <c r="F35" s="258">
        <v>2</v>
      </c>
      <c r="G35" s="437"/>
      <c r="H35" s="125">
        <v>0</v>
      </c>
      <c r="I35" s="58"/>
      <c r="J35" s="125">
        <f>E35*H35</f>
        <v>0</v>
      </c>
    </row>
    <row r="36" spans="1:10" x14ac:dyDescent="0.25">
      <c r="A36" s="46" t="s">
        <v>93</v>
      </c>
      <c r="B36" s="179" t="s">
        <v>17</v>
      </c>
      <c r="C36" s="191" t="s">
        <v>87</v>
      </c>
      <c r="D36" s="186" t="s">
        <v>36</v>
      </c>
      <c r="E36" s="290">
        <v>2</v>
      </c>
      <c r="F36" s="299">
        <v>2</v>
      </c>
      <c r="G36" s="122"/>
      <c r="H36" s="196"/>
      <c r="I36" s="19">
        <f>E36*G36</f>
        <v>0</v>
      </c>
      <c r="J36" s="200"/>
    </row>
    <row r="37" spans="1:10" x14ac:dyDescent="0.25">
      <c r="A37" s="46" t="s">
        <v>175</v>
      </c>
      <c r="B37" s="179" t="s">
        <v>17</v>
      </c>
      <c r="C37" s="191" t="s">
        <v>88</v>
      </c>
      <c r="D37" s="186" t="s">
        <v>36</v>
      </c>
      <c r="E37" s="290">
        <v>2</v>
      </c>
      <c r="F37" s="299">
        <v>2</v>
      </c>
      <c r="G37" s="122"/>
      <c r="H37" s="196"/>
      <c r="I37" s="19">
        <f>E37*G37</f>
        <v>0</v>
      </c>
      <c r="J37" s="196"/>
    </row>
    <row r="38" spans="1:10" ht="28.5" x14ac:dyDescent="0.25">
      <c r="A38" s="172" t="s">
        <v>167</v>
      </c>
      <c r="B38" s="180" t="s">
        <v>15</v>
      </c>
      <c r="C38" s="192" t="s">
        <v>89</v>
      </c>
      <c r="D38" s="187" t="s">
        <v>36</v>
      </c>
      <c r="E38" s="291">
        <v>2</v>
      </c>
      <c r="F38" s="229">
        <v>2</v>
      </c>
      <c r="G38" s="173"/>
      <c r="H38" s="198">
        <v>0</v>
      </c>
      <c r="I38" s="174"/>
      <c r="J38" s="198">
        <f>E38*H38</f>
        <v>0</v>
      </c>
    </row>
    <row r="39" spans="1:10" x14ac:dyDescent="0.25">
      <c r="A39" s="175" t="s">
        <v>97</v>
      </c>
      <c r="B39" s="181" t="s">
        <v>17</v>
      </c>
      <c r="C39" s="193" t="s">
        <v>172</v>
      </c>
      <c r="D39" s="188" t="s">
        <v>36</v>
      </c>
      <c r="E39" s="292">
        <v>2</v>
      </c>
      <c r="F39" s="299">
        <v>2</v>
      </c>
      <c r="G39" s="176"/>
      <c r="H39" s="199"/>
      <c r="I39" s="177">
        <f>E39*G39</f>
        <v>0</v>
      </c>
      <c r="J39" s="199"/>
    </row>
    <row r="40" spans="1:10" x14ac:dyDescent="0.25">
      <c r="A40" s="175" t="s">
        <v>225</v>
      </c>
      <c r="B40" s="181" t="s">
        <v>17</v>
      </c>
      <c r="C40" s="193" t="s">
        <v>173</v>
      </c>
      <c r="D40" s="188" t="s">
        <v>36</v>
      </c>
      <c r="E40" s="292">
        <v>2</v>
      </c>
      <c r="F40" s="299">
        <v>2</v>
      </c>
      <c r="G40" s="176"/>
      <c r="H40" s="199"/>
      <c r="I40" s="177">
        <f>E40*G40</f>
        <v>0</v>
      </c>
      <c r="J40" s="199"/>
    </row>
    <row r="41" spans="1:10" ht="28.5" x14ac:dyDescent="0.25">
      <c r="A41" s="54" t="s">
        <v>99</v>
      </c>
      <c r="B41" s="178" t="s">
        <v>15</v>
      </c>
      <c r="C41" s="190" t="s">
        <v>174</v>
      </c>
      <c r="D41" s="182" t="s">
        <v>36</v>
      </c>
      <c r="E41" s="288">
        <v>3</v>
      </c>
      <c r="F41" s="229">
        <v>3</v>
      </c>
      <c r="G41" s="124"/>
      <c r="H41" s="195">
        <v>0</v>
      </c>
      <c r="I41" s="92"/>
      <c r="J41" s="195">
        <f>E41*H41</f>
        <v>0</v>
      </c>
    </row>
    <row r="42" spans="1:10" x14ac:dyDescent="0.25">
      <c r="A42" s="46" t="s">
        <v>104</v>
      </c>
      <c r="B42" s="179" t="s">
        <v>17</v>
      </c>
      <c r="C42" s="191" t="s">
        <v>176</v>
      </c>
      <c r="D42" s="186" t="s">
        <v>36</v>
      </c>
      <c r="E42" s="290">
        <v>3</v>
      </c>
      <c r="F42" s="299">
        <v>3</v>
      </c>
      <c r="G42" s="122"/>
      <c r="H42" s="196"/>
      <c r="I42" s="19">
        <f>E42*G42</f>
        <v>0</v>
      </c>
      <c r="J42" s="196"/>
    </row>
    <row r="43" spans="1:10" x14ac:dyDescent="0.25">
      <c r="A43" s="46" t="s">
        <v>169</v>
      </c>
      <c r="B43" s="179" t="s">
        <v>17</v>
      </c>
      <c r="C43" s="191" t="s">
        <v>177</v>
      </c>
      <c r="D43" s="186" t="s">
        <v>36</v>
      </c>
      <c r="E43" s="290">
        <v>3</v>
      </c>
      <c r="F43" s="299">
        <v>3</v>
      </c>
      <c r="G43" s="122"/>
      <c r="H43" s="196"/>
      <c r="I43" s="19">
        <f>E43*G43</f>
        <v>0</v>
      </c>
      <c r="J43" s="196"/>
    </row>
    <row r="44" spans="1:10" ht="28.5" x14ac:dyDescent="0.25">
      <c r="A44" s="172" t="s">
        <v>61</v>
      </c>
      <c r="B44" s="180" t="s">
        <v>15</v>
      </c>
      <c r="C44" s="192" t="s">
        <v>98</v>
      </c>
      <c r="D44" s="187" t="s">
        <v>36</v>
      </c>
      <c r="E44" s="291">
        <v>2</v>
      </c>
      <c r="F44" s="229">
        <v>2</v>
      </c>
      <c r="G44" s="173"/>
      <c r="H44" s="198">
        <v>0</v>
      </c>
      <c r="I44" s="174"/>
      <c r="J44" s="198">
        <f>E44*H44</f>
        <v>0</v>
      </c>
    </row>
    <row r="45" spans="1:10" x14ac:dyDescent="0.25">
      <c r="A45" s="175" t="s">
        <v>62</v>
      </c>
      <c r="B45" s="181" t="s">
        <v>17</v>
      </c>
      <c r="C45" s="193" t="s">
        <v>100</v>
      </c>
      <c r="D45" s="188" t="s">
        <v>36</v>
      </c>
      <c r="E45" s="292">
        <v>2</v>
      </c>
      <c r="F45" s="299">
        <v>2</v>
      </c>
      <c r="G45" s="176"/>
      <c r="H45" s="199"/>
      <c r="I45" s="203">
        <f>E45*G45</f>
        <v>0</v>
      </c>
      <c r="J45" s="202"/>
    </row>
    <row r="46" spans="1:10" ht="28.5" x14ac:dyDescent="0.25">
      <c r="A46" s="15">
        <v>15</v>
      </c>
      <c r="B46" s="184" t="s">
        <v>15</v>
      </c>
      <c r="C46" s="184" t="s">
        <v>222</v>
      </c>
      <c r="D46" s="182" t="s">
        <v>36</v>
      </c>
      <c r="E46" s="288">
        <v>1</v>
      </c>
      <c r="F46" s="229">
        <v>1</v>
      </c>
      <c r="G46" s="56"/>
      <c r="H46" s="195">
        <v>0</v>
      </c>
      <c r="I46" s="92"/>
      <c r="J46" s="195">
        <f>E46*H46</f>
        <v>0</v>
      </c>
    </row>
    <row r="47" spans="1:10" ht="30" x14ac:dyDescent="0.25">
      <c r="A47" s="77" t="s">
        <v>62</v>
      </c>
      <c r="B47" s="205" t="s">
        <v>17</v>
      </c>
      <c r="C47" s="204" t="s">
        <v>223</v>
      </c>
      <c r="D47" s="151" t="s">
        <v>36</v>
      </c>
      <c r="E47" s="293">
        <v>1</v>
      </c>
      <c r="F47" s="257">
        <v>1</v>
      </c>
      <c r="G47" s="49"/>
      <c r="H47" s="200"/>
      <c r="I47" s="51">
        <f t="shared" ref="I47:I52" si="1">E47*G47</f>
        <v>0</v>
      </c>
      <c r="J47" s="200"/>
    </row>
    <row r="48" spans="1:10" x14ac:dyDescent="0.25">
      <c r="A48" s="77" t="s">
        <v>63</v>
      </c>
      <c r="B48" s="205" t="s">
        <v>17</v>
      </c>
      <c r="C48" s="434" t="s">
        <v>284</v>
      </c>
      <c r="D48" s="186" t="s">
        <v>36</v>
      </c>
      <c r="E48" s="290"/>
      <c r="F48" s="299">
        <v>1</v>
      </c>
      <c r="G48" s="49"/>
      <c r="H48" s="200"/>
      <c r="I48" s="51">
        <f t="shared" si="1"/>
        <v>0</v>
      </c>
      <c r="J48" s="196"/>
    </row>
    <row r="49" spans="1:14" x14ac:dyDescent="0.25">
      <c r="A49" s="77" t="s">
        <v>209</v>
      </c>
      <c r="B49" s="205" t="s">
        <v>17</v>
      </c>
      <c r="C49" s="434" t="s">
        <v>285</v>
      </c>
      <c r="D49" s="186" t="s">
        <v>36</v>
      </c>
      <c r="E49" s="290"/>
      <c r="F49" s="299">
        <v>2</v>
      </c>
      <c r="G49" s="49"/>
      <c r="H49" s="200"/>
      <c r="I49" s="51">
        <f t="shared" si="1"/>
        <v>0</v>
      </c>
      <c r="J49" s="196"/>
    </row>
    <row r="50" spans="1:14" x14ac:dyDescent="0.25">
      <c r="A50" s="77" t="s">
        <v>210</v>
      </c>
      <c r="B50" s="205" t="s">
        <v>17</v>
      </c>
      <c r="C50" s="434" t="s">
        <v>286</v>
      </c>
      <c r="D50" s="186" t="s">
        <v>36</v>
      </c>
      <c r="E50" s="290"/>
      <c r="F50" s="299">
        <v>1</v>
      </c>
      <c r="G50" s="49"/>
      <c r="H50" s="200"/>
      <c r="I50" s="51">
        <f t="shared" si="1"/>
        <v>0</v>
      </c>
      <c r="J50" s="196"/>
    </row>
    <row r="51" spans="1:14" x14ac:dyDescent="0.25">
      <c r="A51" s="77" t="s">
        <v>211</v>
      </c>
      <c r="B51" s="205" t="s">
        <v>17</v>
      </c>
      <c r="C51" s="434" t="s">
        <v>287</v>
      </c>
      <c r="D51" s="186" t="s">
        <v>36</v>
      </c>
      <c r="E51" s="290"/>
      <c r="F51" s="299">
        <v>1</v>
      </c>
      <c r="G51" s="49"/>
      <c r="H51" s="200"/>
      <c r="I51" s="51">
        <f t="shared" si="1"/>
        <v>0</v>
      </c>
      <c r="J51" s="196"/>
    </row>
    <row r="52" spans="1:14" x14ac:dyDescent="0.25">
      <c r="A52" s="77" t="s">
        <v>212</v>
      </c>
      <c r="B52" s="205" t="s">
        <v>17</v>
      </c>
      <c r="C52" s="434" t="s">
        <v>288</v>
      </c>
      <c r="D52" s="186" t="s">
        <v>36</v>
      </c>
      <c r="E52" s="290"/>
      <c r="F52" s="299">
        <v>1</v>
      </c>
      <c r="G52" s="49"/>
      <c r="H52" s="200"/>
      <c r="I52" s="51">
        <f t="shared" si="1"/>
        <v>0</v>
      </c>
      <c r="J52" s="196"/>
    </row>
    <row r="53" spans="1:14" ht="28.5" x14ac:dyDescent="0.25">
      <c r="A53" s="54" t="s">
        <v>64</v>
      </c>
      <c r="B53" s="178" t="s">
        <v>15</v>
      </c>
      <c r="C53" s="190" t="s">
        <v>105</v>
      </c>
      <c r="D53" s="182" t="s">
        <v>25</v>
      </c>
      <c r="E53" s="288">
        <v>26.9</v>
      </c>
      <c r="F53" s="229">
        <v>26.9</v>
      </c>
      <c r="G53" s="124"/>
      <c r="H53" s="195">
        <v>0</v>
      </c>
      <c r="I53" s="92"/>
      <c r="J53" s="195">
        <f>E53*H53</f>
        <v>0</v>
      </c>
    </row>
    <row r="54" spans="1:14" ht="28.5" x14ac:dyDescent="0.25">
      <c r="A54" s="54" t="s">
        <v>106</v>
      </c>
      <c r="B54" s="440" t="s">
        <v>15</v>
      </c>
      <c r="C54" s="441" t="s">
        <v>226</v>
      </c>
      <c r="D54" s="182" t="s">
        <v>25</v>
      </c>
      <c r="E54" s="288">
        <v>300</v>
      </c>
      <c r="F54" s="229"/>
      <c r="G54" s="124"/>
      <c r="H54" s="195">
        <v>0</v>
      </c>
      <c r="I54" s="92"/>
      <c r="J54" s="195">
        <f>E54*H54</f>
        <v>0</v>
      </c>
    </row>
    <row r="55" spans="1:14" ht="28.5" x14ac:dyDescent="0.25">
      <c r="A55" s="54" t="s">
        <v>106</v>
      </c>
      <c r="B55" s="178" t="s">
        <v>15</v>
      </c>
      <c r="C55" s="190" t="s">
        <v>107</v>
      </c>
      <c r="D55" s="182" t="s">
        <v>16</v>
      </c>
      <c r="E55" s="288">
        <v>44.4</v>
      </c>
      <c r="F55" s="229">
        <v>17.14</v>
      </c>
      <c r="G55" s="124"/>
      <c r="H55" s="195">
        <v>0</v>
      </c>
      <c r="I55" s="92"/>
      <c r="J55" s="125">
        <f>E55*H55</f>
        <v>0</v>
      </c>
    </row>
    <row r="56" spans="1:14" ht="33.75" customHeight="1" x14ac:dyDescent="0.25">
      <c r="A56" s="46" t="s">
        <v>178</v>
      </c>
      <c r="B56" s="179" t="s">
        <v>17</v>
      </c>
      <c r="C56" s="191" t="s">
        <v>109</v>
      </c>
      <c r="D56" s="186" t="s">
        <v>16</v>
      </c>
      <c r="E56" s="290">
        <f>1.1*E55</f>
        <v>48.84</v>
      </c>
      <c r="F56" s="299">
        <f>F55*1.1</f>
        <v>18.854000000000003</v>
      </c>
      <c r="G56" s="122"/>
      <c r="H56" s="196"/>
      <c r="I56" s="19">
        <f>E56*G56</f>
        <v>0</v>
      </c>
      <c r="J56" s="200"/>
    </row>
    <row r="57" spans="1:14" ht="33.75" customHeight="1" x14ac:dyDescent="0.25">
      <c r="A57" s="54" t="s">
        <v>108</v>
      </c>
      <c r="B57" s="178" t="s">
        <v>15</v>
      </c>
      <c r="C57" s="190" t="s">
        <v>110</v>
      </c>
      <c r="D57" s="182" t="s">
        <v>16</v>
      </c>
      <c r="E57" s="288">
        <v>65.489999999999995</v>
      </c>
      <c r="F57" s="229">
        <v>162.13</v>
      </c>
      <c r="G57" s="124"/>
      <c r="H57" s="195">
        <v>0</v>
      </c>
      <c r="I57" s="92"/>
      <c r="J57" s="111">
        <f>E57*H57</f>
        <v>0</v>
      </c>
    </row>
    <row r="58" spans="1:14" ht="28.5" x14ac:dyDescent="0.25">
      <c r="A58" s="54" t="s">
        <v>111</v>
      </c>
      <c r="B58" s="182" t="s">
        <v>15</v>
      </c>
      <c r="C58" s="184" t="s">
        <v>18</v>
      </c>
      <c r="D58" s="182" t="s">
        <v>16</v>
      </c>
      <c r="E58" s="288">
        <v>109.89</v>
      </c>
      <c r="F58" s="229">
        <f>F55+F57</f>
        <v>179.26999999999998</v>
      </c>
      <c r="G58" s="17"/>
      <c r="H58" s="20">
        <v>0</v>
      </c>
      <c r="I58" s="123"/>
      <c r="J58" s="125">
        <f>E58*H58</f>
        <v>0</v>
      </c>
      <c r="K58" s="5"/>
    </row>
    <row r="59" spans="1:14" ht="29.25" thickBot="1" x14ac:dyDescent="0.3">
      <c r="A59" s="159" t="s">
        <v>113</v>
      </c>
      <c r="B59" s="185" t="s">
        <v>15</v>
      </c>
      <c r="C59" s="194" t="s">
        <v>112</v>
      </c>
      <c r="D59" s="185" t="s">
        <v>27</v>
      </c>
      <c r="E59" s="10">
        <v>269</v>
      </c>
      <c r="F59" s="278"/>
      <c r="G59" s="38"/>
      <c r="H59" s="41">
        <v>0</v>
      </c>
      <c r="I59" s="40"/>
      <c r="J59" s="161">
        <f>E59*H59</f>
        <v>0</v>
      </c>
      <c r="K59" s="5"/>
    </row>
    <row r="60" spans="1:14" x14ac:dyDescent="0.25">
      <c r="A60" s="29"/>
      <c r="B60" s="30"/>
      <c r="C60" s="31" t="s">
        <v>19</v>
      </c>
      <c r="D60" s="30"/>
      <c r="E60" s="29"/>
      <c r="F60" s="228"/>
      <c r="G60" s="32"/>
      <c r="H60" s="33"/>
      <c r="I60" s="34">
        <f>SUM(I20:I59)</f>
        <v>0</v>
      </c>
      <c r="J60" s="115">
        <f>SUM(J13:J59)</f>
        <v>0</v>
      </c>
      <c r="K60" s="5"/>
    </row>
    <row r="61" spans="1:14" ht="15.75" thickBot="1" x14ac:dyDescent="0.3">
      <c r="A61" s="36"/>
      <c r="B61" s="110"/>
      <c r="C61" s="37" t="s">
        <v>261</v>
      </c>
      <c r="D61" s="110"/>
      <c r="E61" s="36"/>
      <c r="F61" s="278"/>
      <c r="G61" s="38"/>
      <c r="H61" s="39"/>
      <c r="I61" s="40"/>
      <c r="J61" s="161">
        <f>I60+J60</f>
        <v>0</v>
      </c>
      <c r="K61" s="5"/>
    </row>
    <row r="62" spans="1:14" ht="29.25" customHeight="1" x14ac:dyDescent="0.25">
      <c r="A62" s="444"/>
      <c r="B62" s="445" t="s">
        <v>20</v>
      </c>
      <c r="C62" s="446" t="s">
        <v>114</v>
      </c>
      <c r="D62" s="447"/>
      <c r="E62" s="447"/>
      <c r="F62" s="448"/>
      <c r="G62" s="447"/>
      <c r="H62" s="447"/>
      <c r="I62" s="447"/>
      <c r="J62" s="449"/>
      <c r="K62" s="5"/>
    </row>
    <row r="63" spans="1:14" ht="42.75" x14ac:dyDescent="0.25">
      <c r="A63" s="450" t="s">
        <v>21</v>
      </c>
      <c r="B63" s="451" t="s">
        <v>15</v>
      </c>
      <c r="C63" s="328" t="s">
        <v>163</v>
      </c>
      <c r="D63" s="451" t="s">
        <v>16</v>
      </c>
      <c r="E63" s="309">
        <v>280.66000000000003</v>
      </c>
      <c r="F63" s="452">
        <f>266.3-F64</f>
        <v>258.03000000000003</v>
      </c>
      <c r="G63" s="311"/>
      <c r="H63" s="309">
        <v>0</v>
      </c>
      <c r="I63" s="311"/>
      <c r="J63" s="309">
        <f>E63*H63</f>
        <v>0</v>
      </c>
      <c r="L63" s="66">
        <f>E63+E64</f>
        <v>289.66000000000003</v>
      </c>
      <c r="M63" s="3">
        <f>E64/L63</f>
        <v>3.1070910722916519E-2</v>
      </c>
      <c r="N63" s="3">
        <v>266.3</v>
      </c>
    </row>
    <row r="64" spans="1:14" ht="28.5" x14ac:dyDescent="0.25">
      <c r="A64" s="450" t="s">
        <v>22</v>
      </c>
      <c r="B64" s="450" t="s">
        <v>15</v>
      </c>
      <c r="C64" s="328" t="s">
        <v>72</v>
      </c>
      <c r="D64" s="451" t="s">
        <v>16</v>
      </c>
      <c r="E64" s="453">
        <v>9</v>
      </c>
      <c r="F64" s="454">
        <v>8.27</v>
      </c>
      <c r="G64" s="309"/>
      <c r="H64" s="309">
        <v>0</v>
      </c>
      <c r="I64" s="309"/>
      <c r="J64" s="309">
        <f>E64*H64</f>
        <v>0</v>
      </c>
      <c r="M64" s="3">
        <f>M63*N63</f>
        <v>8.2741835255126688</v>
      </c>
    </row>
    <row r="65" spans="1:12" ht="28.5" x14ac:dyDescent="0.25">
      <c r="A65" s="450" t="s">
        <v>24</v>
      </c>
      <c r="B65" s="450" t="s">
        <v>15</v>
      </c>
      <c r="C65" s="328" t="s">
        <v>179</v>
      </c>
      <c r="D65" s="455" t="s">
        <v>60</v>
      </c>
      <c r="E65" s="451">
        <f>289.66*1.6</f>
        <v>463.45600000000007</v>
      </c>
      <c r="F65" s="308">
        <f>1.6*(F63+F64)</f>
        <v>426.08000000000004</v>
      </c>
      <c r="G65" s="309"/>
      <c r="H65" s="309">
        <v>0</v>
      </c>
      <c r="I65" s="309"/>
      <c r="J65" s="309">
        <f>E65*H65</f>
        <v>0</v>
      </c>
    </row>
    <row r="66" spans="1:12" ht="28.5" x14ac:dyDescent="0.25">
      <c r="A66" s="450" t="s">
        <v>28</v>
      </c>
      <c r="B66" s="451" t="s">
        <v>15</v>
      </c>
      <c r="C66" s="456" t="s">
        <v>74</v>
      </c>
      <c r="D66" s="451" t="s">
        <v>16</v>
      </c>
      <c r="E66" s="451">
        <v>11</v>
      </c>
      <c r="F66" s="308">
        <v>9.6</v>
      </c>
      <c r="G66" s="311"/>
      <c r="H66" s="309">
        <v>0</v>
      </c>
      <c r="I66" s="311"/>
      <c r="J66" s="309">
        <f>E66*H66</f>
        <v>0</v>
      </c>
    </row>
    <row r="67" spans="1:12" x14ac:dyDescent="0.25">
      <c r="A67" s="457" t="s">
        <v>30</v>
      </c>
      <c r="B67" s="457" t="s">
        <v>17</v>
      </c>
      <c r="C67" s="330" t="s">
        <v>23</v>
      </c>
      <c r="D67" s="451" t="s">
        <v>27</v>
      </c>
      <c r="E67" s="309">
        <f>E66*1.1</f>
        <v>12.100000000000001</v>
      </c>
      <c r="F67" s="452">
        <f>F66*1.1</f>
        <v>10.56</v>
      </c>
      <c r="G67" s="311"/>
      <c r="H67" s="309"/>
      <c r="I67" s="311">
        <f>E67*G67</f>
        <v>0</v>
      </c>
      <c r="J67" s="309"/>
    </row>
    <row r="68" spans="1:12" ht="28.5" x14ac:dyDescent="0.25">
      <c r="A68" s="450" t="s">
        <v>32</v>
      </c>
      <c r="B68" s="451" t="s">
        <v>15</v>
      </c>
      <c r="C68" s="456" t="s">
        <v>76</v>
      </c>
      <c r="D68" s="451" t="s">
        <v>25</v>
      </c>
      <c r="E68" s="458">
        <v>59</v>
      </c>
      <c r="F68" s="308">
        <f>81.9-26.9</f>
        <v>55.000000000000007</v>
      </c>
      <c r="G68" s="311"/>
      <c r="H68" s="309">
        <v>0</v>
      </c>
      <c r="I68" s="311"/>
      <c r="J68" s="309">
        <f>E68*H68</f>
        <v>0</v>
      </c>
      <c r="K68" s="3">
        <f>E69/E68</f>
        <v>1.03</v>
      </c>
    </row>
    <row r="69" spans="1:12" ht="21.75" customHeight="1" x14ac:dyDescent="0.25">
      <c r="A69" s="457" t="s">
        <v>34</v>
      </c>
      <c r="B69" s="459" t="s">
        <v>17</v>
      </c>
      <c r="C69" s="460" t="s">
        <v>115</v>
      </c>
      <c r="D69" s="461" t="s">
        <v>25</v>
      </c>
      <c r="E69" s="311">
        <f>1.03*E68</f>
        <v>60.77</v>
      </c>
      <c r="F69" s="431">
        <f>F68*1.03</f>
        <v>56.650000000000006</v>
      </c>
      <c r="G69" s="311"/>
      <c r="H69" s="309"/>
      <c r="I69" s="311">
        <f>E69*G69</f>
        <v>0</v>
      </c>
      <c r="J69" s="309"/>
      <c r="L69" s="66"/>
    </row>
    <row r="70" spans="1:12" s="67" customFormat="1" ht="28.5" x14ac:dyDescent="0.25">
      <c r="A70" s="450" t="s">
        <v>37</v>
      </c>
      <c r="B70" s="325" t="s">
        <v>17</v>
      </c>
      <c r="C70" s="456" t="s">
        <v>116</v>
      </c>
      <c r="D70" s="451" t="s">
        <v>25</v>
      </c>
      <c r="E70" s="458">
        <v>23.9</v>
      </c>
      <c r="F70" s="308">
        <v>22.7</v>
      </c>
      <c r="G70" s="309"/>
      <c r="H70" s="309">
        <v>0</v>
      </c>
      <c r="I70" s="309"/>
      <c r="J70" s="309">
        <f>E70*H70</f>
        <v>0</v>
      </c>
    </row>
    <row r="71" spans="1:12" x14ac:dyDescent="0.25">
      <c r="A71" s="457" t="s">
        <v>39</v>
      </c>
      <c r="B71" s="459" t="s">
        <v>17</v>
      </c>
      <c r="C71" s="460" t="s">
        <v>117</v>
      </c>
      <c r="D71" s="461" t="s">
        <v>25</v>
      </c>
      <c r="E71" s="461">
        <v>23.9</v>
      </c>
      <c r="F71" s="310">
        <v>22.7</v>
      </c>
      <c r="G71" s="311"/>
      <c r="H71" s="309"/>
      <c r="I71" s="311">
        <f>E71*G71</f>
        <v>0</v>
      </c>
      <c r="J71" s="309"/>
    </row>
    <row r="72" spans="1:12" ht="28.5" x14ac:dyDescent="0.25">
      <c r="A72" s="450" t="s">
        <v>43</v>
      </c>
      <c r="B72" s="451" t="s">
        <v>15</v>
      </c>
      <c r="C72" s="456" t="s">
        <v>85</v>
      </c>
      <c r="D72" s="462" t="s">
        <v>36</v>
      </c>
      <c r="E72" s="462">
        <v>1</v>
      </c>
      <c r="F72" s="463">
        <v>1</v>
      </c>
      <c r="G72" s="309"/>
      <c r="H72" s="309">
        <v>0</v>
      </c>
      <c r="I72" s="309"/>
      <c r="J72" s="309">
        <f>H72*E72</f>
        <v>0</v>
      </c>
      <c r="L72" s="66"/>
    </row>
    <row r="73" spans="1:12" x14ac:dyDescent="0.25">
      <c r="A73" s="457" t="s">
        <v>45</v>
      </c>
      <c r="B73" s="457" t="s">
        <v>17</v>
      </c>
      <c r="C73" s="460" t="s">
        <v>118</v>
      </c>
      <c r="D73" s="464" t="s">
        <v>36</v>
      </c>
      <c r="E73" s="464">
        <v>1</v>
      </c>
      <c r="F73" s="465">
        <v>1</v>
      </c>
      <c r="G73" s="311"/>
      <c r="H73" s="309"/>
      <c r="I73" s="311">
        <f>E73*G73</f>
        <v>0</v>
      </c>
      <c r="J73" s="309"/>
    </row>
    <row r="74" spans="1:12" x14ac:dyDescent="0.25">
      <c r="A74" s="457" t="s">
        <v>47</v>
      </c>
      <c r="B74" s="459" t="s">
        <v>17</v>
      </c>
      <c r="C74" s="460" t="s">
        <v>96</v>
      </c>
      <c r="D74" s="461" t="s">
        <v>36</v>
      </c>
      <c r="E74" s="461">
        <v>2</v>
      </c>
      <c r="F74" s="310">
        <v>2</v>
      </c>
      <c r="G74" s="311"/>
      <c r="H74" s="309"/>
      <c r="I74" s="311">
        <f>E74*G74</f>
        <v>0</v>
      </c>
      <c r="J74" s="309"/>
    </row>
    <row r="75" spans="1:12" ht="28.5" x14ac:dyDescent="0.25">
      <c r="A75" s="450" t="s">
        <v>52</v>
      </c>
      <c r="B75" s="451" t="s">
        <v>15</v>
      </c>
      <c r="C75" s="328" t="s">
        <v>119</v>
      </c>
      <c r="D75" s="451" t="s">
        <v>25</v>
      </c>
      <c r="E75" s="309">
        <v>59</v>
      </c>
      <c r="F75" s="452">
        <v>55</v>
      </c>
      <c r="G75" s="309"/>
      <c r="H75" s="309">
        <v>0</v>
      </c>
      <c r="I75" s="309"/>
      <c r="J75" s="309">
        <f>E75*H75</f>
        <v>0</v>
      </c>
      <c r="L75" s="66"/>
    </row>
    <row r="76" spans="1:12" x14ac:dyDescent="0.25">
      <c r="A76" s="457" t="s">
        <v>80</v>
      </c>
      <c r="B76" s="457" t="s">
        <v>17</v>
      </c>
      <c r="C76" s="330" t="s">
        <v>100</v>
      </c>
      <c r="D76" s="461" t="s">
        <v>36</v>
      </c>
      <c r="E76" s="311">
        <v>1</v>
      </c>
      <c r="F76" s="431">
        <v>1</v>
      </c>
      <c r="G76" s="311"/>
      <c r="H76" s="309"/>
      <c r="I76" s="311">
        <f>E76*G76</f>
        <v>0</v>
      </c>
      <c r="J76" s="309"/>
    </row>
    <row r="77" spans="1:12" s="67" customFormat="1" ht="14.25" x14ac:dyDescent="0.25">
      <c r="A77" s="450"/>
      <c r="B77" s="450"/>
      <c r="C77" s="328" t="s">
        <v>289</v>
      </c>
      <c r="D77" s="451"/>
      <c r="E77" s="309"/>
      <c r="F77" s="452"/>
      <c r="G77" s="309"/>
      <c r="H77" s="309"/>
      <c r="I77" s="309"/>
      <c r="J77" s="309"/>
    </row>
    <row r="78" spans="1:12" s="67" customFormat="1" ht="28.5" x14ac:dyDescent="0.25">
      <c r="A78" s="450"/>
      <c r="B78" s="451" t="s">
        <v>15</v>
      </c>
      <c r="C78" s="328" t="s">
        <v>236</v>
      </c>
      <c r="D78" s="451" t="s">
        <v>27</v>
      </c>
      <c r="E78" s="309"/>
      <c r="F78" s="452">
        <f>2.9*2.4</f>
        <v>6.96</v>
      </c>
      <c r="G78" s="309"/>
      <c r="H78" s="309"/>
      <c r="I78" s="309"/>
      <c r="J78" s="309"/>
    </row>
    <row r="79" spans="1:12" x14ac:dyDescent="0.25">
      <c r="A79" s="457"/>
      <c r="B79" s="457" t="s">
        <v>17</v>
      </c>
      <c r="C79" s="330" t="s">
        <v>290</v>
      </c>
      <c r="D79" s="461" t="s">
        <v>27</v>
      </c>
      <c r="E79" s="311"/>
      <c r="F79" s="431">
        <f>F78*1.1</f>
        <v>7.6560000000000006</v>
      </c>
      <c r="G79" s="311"/>
      <c r="H79" s="309"/>
      <c r="I79" s="311"/>
      <c r="J79" s="309"/>
    </row>
    <row r="80" spans="1:12" s="67" customFormat="1" ht="28.5" x14ac:dyDescent="0.25">
      <c r="A80" s="450"/>
      <c r="B80" s="451" t="s">
        <v>15</v>
      </c>
      <c r="C80" s="328" t="s">
        <v>291</v>
      </c>
      <c r="D80" s="451" t="s">
        <v>16</v>
      </c>
      <c r="E80" s="309"/>
      <c r="F80" s="452">
        <v>7.6</v>
      </c>
      <c r="G80" s="309"/>
      <c r="H80" s="309"/>
      <c r="I80" s="309"/>
      <c r="J80" s="309"/>
    </row>
    <row r="81" spans="1:10" x14ac:dyDescent="0.25">
      <c r="A81" s="457"/>
      <c r="B81" s="457" t="s">
        <v>17</v>
      </c>
      <c r="C81" s="330" t="s">
        <v>298</v>
      </c>
      <c r="D81" s="461" t="s">
        <v>16</v>
      </c>
      <c r="E81" s="311"/>
      <c r="F81" s="431">
        <f>F80*1.25</f>
        <v>9.5</v>
      </c>
      <c r="G81" s="311"/>
      <c r="H81" s="311"/>
      <c r="I81" s="311"/>
      <c r="J81" s="311"/>
    </row>
    <row r="82" spans="1:10" s="67" customFormat="1" ht="28.5" x14ac:dyDescent="0.25">
      <c r="A82" s="450"/>
      <c r="B82" s="451" t="s">
        <v>15</v>
      </c>
      <c r="C82" s="328" t="s">
        <v>292</v>
      </c>
      <c r="D82" s="451" t="s">
        <v>16</v>
      </c>
      <c r="E82" s="309"/>
      <c r="F82" s="452">
        <f>0.1*17.6</f>
        <v>1.7600000000000002</v>
      </c>
      <c r="G82" s="309"/>
      <c r="H82" s="309"/>
      <c r="I82" s="309"/>
      <c r="J82" s="309"/>
    </row>
    <row r="83" spans="1:10" x14ac:dyDescent="0.25">
      <c r="A83" s="457"/>
      <c r="B83" s="457" t="s">
        <v>17</v>
      </c>
      <c r="C83" s="330" t="s">
        <v>307</v>
      </c>
      <c r="D83" s="461" t="s">
        <v>16</v>
      </c>
      <c r="E83" s="311"/>
      <c r="F83" s="431">
        <f>F82*1.03</f>
        <v>1.8128000000000002</v>
      </c>
      <c r="G83" s="309"/>
      <c r="H83" s="309"/>
      <c r="I83" s="311"/>
      <c r="J83" s="309"/>
    </row>
    <row r="84" spans="1:10" s="67" customFormat="1" ht="28.5" x14ac:dyDescent="0.25">
      <c r="A84" s="450"/>
      <c r="B84" s="451" t="s">
        <v>15</v>
      </c>
      <c r="C84" s="328" t="s">
        <v>305</v>
      </c>
      <c r="D84" s="451" t="s">
        <v>27</v>
      </c>
      <c r="E84" s="309"/>
      <c r="F84" s="452">
        <f>F82/0.1</f>
        <v>17.600000000000001</v>
      </c>
      <c r="G84" s="309"/>
      <c r="H84" s="309"/>
      <c r="I84" s="309"/>
      <c r="J84" s="309"/>
    </row>
    <row r="85" spans="1:10" x14ac:dyDescent="0.25">
      <c r="A85" s="457"/>
      <c r="B85" s="457" t="s">
        <v>17</v>
      </c>
      <c r="C85" s="330" t="s">
        <v>258</v>
      </c>
      <c r="D85" s="461" t="s">
        <v>27</v>
      </c>
      <c r="E85" s="311"/>
      <c r="F85" s="431">
        <f>F84*1.03</f>
        <v>18.128000000000004</v>
      </c>
      <c r="G85" s="311"/>
      <c r="H85" s="309"/>
      <c r="I85" s="311"/>
      <c r="J85" s="309"/>
    </row>
    <row r="86" spans="1:10" s="67" customFormat="1" ht="28.5" x14ac:dyDescent="0.25">
      <c r="A86" s="450"/>
      <c r="B86" s="451" t="s">
        <v>15</v>
      </c>
      <c r="C86" s="328" t="s">
        <v>293</v>
      </c>
      <c r="D86" s="451" t="s">
        <v>16</v>
      </c>
      <c r="E86" s="309"/>
      <c r="F86" s="452">
        <f>3.2*3.7*0.1</f>
        <v>1.1840000000000002</v>
      </c>
      <c r="G86" s="309"/>
      <c r="H86" s="309"/>
      <c r="I86" s="309"/>
      <c r="J86" s="309"/>
    </row>
    <row r="87" spans="1:10" x14ac:dyDescent="0.25">
      <c r="A87" s="457"/>
      <c r="B87" s="457" t="s">
        <v>17</v>
      </c>
      <c r="C87" s="330" t="s">
        <v>239</v>
      </c>
      <c r="D87" s="461" t="s">
        <v>16</v>
      </c>
      <c r="E87" s="311"/>
      <c r="F87" s="431">
        <f>F86*1.015</f>
        <v>1.2017599999999999</v>
      </c>
      <c r="G87" s="311"/>
      <c r="H87" s="309"/>
      <c r="I87" s="311"/>
      <c r="J87" s="309"/>
    </row>
    <row r="88" spans="1:10" s="67" customFormat="1" ht="28.5" x14ac:dyDescent="0.25">
      <c r="A88" s="456"/>
      <c r="B88" s="451" t="s">
        <v>15</v>
      </c>
      <c r="C88" s="466" t="s">
        <v>295</v>
      </c>
      <c r="D88" s="451" t="s">
        <v>27</v>
      </c>
      <c r="E88" s="309"/>
      <c r="F88" s="467">
        <f>3.2*3.7+0.1*(3.2+3.7)*2</f>
        <v>13.220000000000002</v>
      </c>
      <c r="G88" s="309"/>
      <c r="H88" s="309"/>
      <c r="I88" s="309"/>
      <c r="J88" s="309"/>
    </row>
    <row r="89" spans="1:10" x14ac:dyDescent="0.25">
      <c r="A89" s="460"/>
      <c r="B89" s="457" t="s">
        <v>17</v>
      </c>
      <c r="C89" s="468" t="s">
        <v>299</v>
      </c>
      <c r="D89" s="461" t="s">
        <v>27</v>
      </c>
      <c r="E89" s="311"/>
      <c r="F89" s="469">
        <f>F88*1.1</f>
        <v>14.542000000000003</v>
      </c>
      <c r="G89" s="311"/>
      <c r="H89" s="309"/>
      <c r="I89" s="311"/>
      <c r="J89" s="309"/>
    </row>
    <row r="90" spans="1:10" s="67" customFormat="1" ht="28.5" x14ac:dyDescent="0.25">
      <c r="A90" s="450"/>
      <c r="B90" s="451" t="s">
        <v>15</v>
      </c>
      <c r="C90" s="328" t="s">
        <v>294</v>
      </c>
      <c r="D90" s="451" t="s">
        <v>16</v>
      </c>
      <c r="E90" s="309"/>
      <c r="F90" s="452">
        <f>3.5*3*0.3</f>
        <v>3.15</v>
      </c>
      <c r="G90" s="309"/>
      <c r="H90" s="309"/>
      <c r="I90" s="309"/>
      <c r="J90" s="309"/>
    </row>
    <row r="91" spans="1:10" x14ac:dyDescent="0.25">
      <c r="A91" s="457"/>
      <c r="B91" s="457" t="s">
        <v>17</v>
      </c>
      <c r="C91" s="330" t="s">
        <v>304</v>
      </c>
      <c r="D91" s="461" t="s">
        <v>41</v>
      </c>
      <c r="E91" s="311"/>
      <c r="F91" s="431">
        <v>19</v>
      </c>
      <c r="G91" s="311"/>
      <c r="H91" s="309"/>
      <c r="I91" s="311"/>
      <c r="J91" s="309"/>
    </row>
    <row r="92" spans="1:10" x14ac:dyDescent="0.25">
      <c r="A92" s="457"/>
      <c r="B92" s="457" t="s">
        <v>17</v>
      </c>
      <c r="C92" s="330" t="s">
        <v>297</v>
      </c>
      <c r="D92" s="461" t="s">
        <v>41</v>
      </c>
      <c r="E92" s="311"/>
      <c r="F92" s="431">
        <v>318</v>
      </c>
      <c r="G92" s="311"/>
      <c r="H92" s="309"/>
      <c r="I92" s="311"/>
      <c r="J92" s="309"/>
    </row>
    <row r="93" spans="1:10" x14ac:dyDescent="0.25">
      <c r="A93" s="457"/>
      <c r="B93" s="457" t="s">
        <v>17</v>
      </c>
      <c r="C93" s="330" t="s">
        <v>306</v>
      </c>
      <c r="D93" s="461" t="s">
        <v>16</v>
      </c>
      <c r="E93" s="311"/>
      <c r="F93" s="431">
        <f>1.015*F90</f>
        <v>3.1972499999999995</v>
      </c>
      <c r="G93" s="311"/>
      <c r="H93" s="309"/>
      <c r="I93" s="311"/>
      <c r="J93" s="309"/>
    </row>
    <row r="94" spans="1:10" x14ac:dyDescent="0.25">
      <c r="A94" s="457"/>
      <c r="B94" s="457" t="s">
        <v>17</v>
      </c>
      <c r="C94" s="330" t="s">
        <v>300</v>
      </c>
      <c r="D94" s="461" t="s">
        <v>25</v>
      </c>
      <c r="E94" s="311"/>
      <c r="F94" s="431">
        <v>13</v>
      </c>
      <c r="G94" s="311"/>
      <c r="H94" s="309"/>
      <c r="I94" s="311"/>
      <c r="J94" s="309"/>
    </row>
    <row r="95" spans="1:10" s="67" customFormat="1" ht="28.5" x14ac:dyDescent="0.25">
      <c r="A95" s="450"/>
      <c r="B95" s="451" t="s">
        <v>15</v>
      </c>
      <c r="C95" s="328" t="s">
        <v>308</v>
      </c>
      <c r="D95" s="451" t="s">
        <v>16</v>
      </c>
      <c r="E95" s="309"/>
      <c r="F95" s="452">
        <v>4.2</v>
      </c>
      <c r="G95" s="309"/>
      <c r="H95" s="309"/>
      <c r="I95" s="309"/>
      <c r="J95" s="309"/>
    </row>
    <row r="96" spans="1:10" x14ac:dyDescent="0.25">
      <c r="A96" s="457"/>
      <c r="B96" s="457" t="s">
        <v>17</v>
      </c>
      <c r="C96" s="330" t="s">
        <v>304</v>
      </c>
      <c r="D96" s="461" t="s">
        <v>41</v>
      </c>
      <c r="E96" s="311"/>
      <c r="F96" s="431">
        <v>420</v>
      </c>
      <c r="G96" s="311"/>
      <c r="H96" s="309"/>
      <c r="I96" s="311"/>
      <c r="J96" s="309"/>
    </row>
    <row r="97" spans="1:10" x14ac:dyDescent="0.25">
      <c r="A97" s="457"/>
      <c r="B97" s="457" t="s">
        <v>17</v>
      </c>
      <c r="C97" s="330" t="s">
        <v>297</v>
      </c>
      <c r="D97" s="461" t="s">
        <v>41</v>
      </c>
      <c r="E97" s="311"/>
      <c r="F97" s="431">
        <v>124</v>
      </c>
      <c r="G97" s="311"/>
      <c r="H97" s="309"/>
      <c r="I97" s="311"/>
      <c r="J97" s="309"/>
    </row>
    <row r="98" spans="1:10" x14ac:dyDescent="0.25">
      <c r="A98" s="457"/>
      <c r="B98" s="457" t="s">
        <v>17</v>
      </c>
      <c r="C98" s="330" t="s">
        <v>306</v>
      </c>
      <c r="D98" s="461" t="s">
        <v>16</v>
      </c>
      <c r="E98" s="311"/>
      <c r="F98" s="431">
        <f>F95*1.015</f>
        <v>4.2629999999999999</v>
      </c>
      <c r="G98" s="311"/>
      <c r="H98" s="309"/>
      <c r="I98" s="311"/>
      <c r="J98" s="309"/>
    </row>
    <row r="99" spans="1:10" x14ac:dyDescent="0.25">
      <c r="A99" s="457"/>
      <c r="B99" s="457" t="s">
        <v>17</v>
      </c>
      <c r="C99" s="330" t="s">
        <v>300</v>
      </c>
      <c r="D99" s="461"/>
      <c r="E99" s="311"/>
      <c r="F99" s="431"/>
      <c r="G99" s="311"/>
      <c r="H99" s="309"/>
      <c r="I99" s="311"/>
      <c r="J99" s="309"/>
    </row>
    <row r="100" spans="1:10" s="67" customFormat="1" ht="28.5" x14ac:dyDescent="0.25">
      <c r="A100" s="450"/>
      <c r="B100" s="451" t="s">
        <v>15</v>
      </c>
      <c r="C100" s="328" t="s">
        <v>303</v>
      </c>
      <c r="D100" s="451" t="s">
        <v>16</v>
      </c>
      <c r="E100" s="309"/>
      <c r="F100" s="452">
        <f>2.4*2.9*0.2</f>
        <v>1.3920000000000001</v>
      </c>
      <c r="G100" s="309"/>
      <c r="H100" s="309"/>
      <c r="I100" s="309"/>
      <c r="J100" s="309"/>
    </row>
    <row r="101" spans="1:10" x14ac:dyDescent="0.25">
      <c r="A101" s="457"/>
      <c r="B101" s="457" t="s">
        <v>17</v>
      </c>
      <c r="C101" s="330" t="s">
        <v>296</v>
      </c>
      <c r="D101" s="461" t="s">
        <v>41</v>
      </c>
      <c r="E101" s="311"/>
      <c r="F101" s="431">
        <v>468</v>
      </c>
      <c r="G101" s="311"/>
      <c r="H101" s="309"/>
      <c r="I101" s="311"/>
      <c r="J101" s="309"/>
    </row>
    <row r="102" spans="1:10" x14ac:dyDescent="0.25">
      <c r="A102" s="457"/>
      <c r="B102" s="457" t="s">
        <v>17</v>
      </c>
      <c r="C102" s="330" t="s">
        <v>297</v>
      </c>
      <c r="D102" s="461" t="s">
        <v>41</v>
      </c>
      <c r="E102" s="311"/>
      <c r="F102" s="431">
        <v>73</v>
      </c>
      <c r="G102" s="311"/>
      <c r="H102" s="309"/>
      <c r="I102" s="311"/>
      <c r="J102" s="309"/>
    </row>
    <row r="103" spans="1:10" x14ac:dyDescent="0.25">
      <c r="A103" s="457"/>
      <c r="B103" s="457" t="s">
        <v>17</v>
      </c>
      <c r="C103" s="330" t="s">
        <v>306</v>
      </c>
      <c r="D103" s="461" t="s">
        <v>16</v>
      </c>
      <c r="E103" s="311"/>
      <c r="F103" s="431">
        <f>F100*1.015</f>
        <v>1.4128799999999999</v>
      </c>
      <c r="G103" s="311"/>
      <c r="H103" s="309"/>
      <c r="I103" s="311"/>
      <c r="J103" s="309"/>
    </row>
    <row r="104" spans="1:10" s="67" customFormat="1" ht="28.5" x14ac:dyDescent="0.25">
      <c r="A104" s="450"/>
      <c r="B104" s="451" t="s">
        <v>15</v>
      </c>
      <c r="C104" s="328" t="s">
        <v>313</v>
      </c>
      <c r="D104" s="451"/>
      <c r="E104" s="309"/>
      <c r="F104" s="452"/>
      <c r="G104" s="309"/>
      <c r="H104" s="309"/>
      <c r="I104" s="309"/>
      <c r="J104" s="309"/>
    </row>
    <row r="105" spans="1:10" x14ac:dyDescent="0.25">
      <c r="A105" s="457"/>
      <c r="B105" s="457" t="s">
        <v>17</v>
      </c>
      <c r="C105" s="330" t="s">
        <v>301</v>
      </c>
      <c r="D105" s="461" t="s">
        <v>27</v>
      </c>
      <c r="E105" s="309"/>
      <c r="F105" s="431">
        <f>8+21+7</f>
        <v>36</v>
      </c>
      <c r="G105" s="311"/>
      <c r="H105" s="309"/>
      <c r="I105" s="311"/>
      <c r="J105" s="309"/>
    </row>
    <row r="106" spans="1:10" x14ac:dyDescent="0.25">
      <c r="A106" s="457"/>
      <c r="B106" s="457" t="s">
        <v>17</v>
      </c>
      <c r="C106" s="468" t="s">
        <v>299</v>
      </c>
      <c r="D106" s="461" t="s">
        <v>27</v>
      </c>
      <c r="E106" s="309"/>
      <c r="F106" s="431">
        <f>16+42+7</f>
        <v>65</v>
      </c>
      <c r="G106" s="311"/>
      <c r="H106" s="309"/>
      <c r="I106" s="311"/>
      <c r="J106" s="309"/>
    </row>
    <row r="107" spans="1:10" x14ac:dyDescent="0.25">
      <c r="A107" s="457"/>
      <c r="B107" s="457" t="s">
        <v>17</v>
      </c>
      <c r="C107" s="330" t="s">
        <v>302</v>
      </c>
      <c r="D107" s="461" t="s">
        <v>27</v>
      </c>
      <c r="E107" s="309"/>
      <c r="F107" s="431">
        <f>8+21+7</f>
        <v>36</v>
      </c>
      <c r="G107" s="311"/>
      <c r="H107" s="309"/>
      <c r="I107" s="311"/>
      <c r="J107" s="309"/>
    </row>
    <row r="108" spans="1:10" x14ac:dyDescent="0.25">
      <c r="A108" s="457"/>
      <c r="B108" s="457" t="s">
        <v>17</v>
      </c>
      <c r="C108" s="330" t="s">
        <v>312</v>
      </c>
      <c r="D108" s="461" t="s">
        <v>25</v>
      </c>
      <c r="E108" s="309"/>
      <c r="F108" s="431">
        <f>2.9*2+2.4*2</f>
        <v>10.6</v>
      </c>
      <c r="G108" s="311"/>
      <c r="H108" s="309"/>
      <c r="I108" s="311"/>
      <c r="J108" s="309"/>
    </row>
    <row r="109" spans="1:10" s="67" customFormat="1" ht="28.5" x14ac:dyDescent="0.25">
      <c r="A109" s="450"/>
      <c r="B109" s="451" t="s">
        <v>15</v>
      </c>
      <c r="C109" s="328" t="s">
        <v>314</v>
      </c>
      <c r="D109" s="451"/>
      <c r="E109" s="309"/>
      <c r="F109" s="452"/>
      <c r="G109" s="309"/>
      <c r="H109" s="309"/>
      <c r="I109" s="309"/>
      <c r="J109" s="309"/>
    </row>
    <row r="110" spans="1:10" x14ac:dyDescent="0.25">
      <c r="A110" s="457"/>
      <c r="B110" s="457" t="s">
        <v>17</v>
      </c>
      <c r="C110" s="330" t="s">
        <v>284</v>
      </c>
      <c r="D110" s="461" t="s">
        <v>36</v>
      </c>
      <c r="E110" s="311"/>
      <c r="F110" s="431">
        <v>2</v>
      </c>
      <c r="G110" s="311"/>
      <c r="H110" s="309"/>
      <c r="I110" s="311"/>
      <c r="J110" s="309"/>
    </row>
    <row r="111" spans="1:10" x14ac:dyDescent="0.25">
      <c r="A111" s="457"/>
      <c r="B111" s="457" t="s">
        <v>17</v>
      </c>
      <c r="C111" s="330" t="s">
        <v>309</v>
      </c>
      <c r="D111" s="461" t="s">
        <v>36</v>
      </c>
      <c r="E111" s="311"/>
      <c r="F111" s="431">
        <v>2</v>
      </c>
      <c r="G111" s="311"/>
      <c r="H111" s="309"/>
      <c r="I111" s="311"/>
      <c r="J111" s="309"/>
    </row>
    <row r="112" spans="1:10" x14ac:dyDescent="0.25">
      <c r="A112" s="457"/>
      <c r="B112" s="457" t="s">
        <v>17</v>
      </c>
      <c r="C112" s="330" t="s">
        <v>310</v>
      </c>
      <c r="D112" s="461" t="s">
        <v>36</v>
      </c>
      <c r="E112" s="311"/>
      <c r="F112" s="431">
        <v>1</v>
      </c>
      <c r="G112" s="311"/>
      <c r="H112" s="309"/>
      <c r="I112" s="311"/>
      <c r="J112" s="309"/>
    </row>
    <row r="113" spans="1:10" x14ac:dyDescent="0.25">
      <c r="A113" s="457"/>
      <c r="B113" s="457" t="s">
        <v>17</v>
      </c>
      <c r="C113" s="330" t="s">
        <v>311</v>
      </c>
      <c r="D113" s="461" t="s">
        <v>36</v>
      </c>
      <c r="E113" s="311"/>
      <c r="F113" s="431">
        <v>1</v>
      </c>
      <c r="G113" s="311"/>
      <c r="H113" s="309"/>
      <c r="I113" s="311"/>
      <c r="J113" s="309"/>
    </row>
    <row r="114" spans="1:10" ht="57" x14ac:dyDescent="0.25">
      <c r="A114" s="450" t="s">
        <v>99</v>
      </c>
      <c r="B114" s="450" t="s">
        <v>15</v>
      </c>
      <c r="C114" s="326" t="s">
        <v>171</v>
      </c>
      <c r="D114" s="451" t="s">
        <v>36</v>
      </c>
      <c r="E114" s="451">
        <v>1</v>
      </c>
      <c r="F114" s="308">
        <v>1</v>
      </c>
      <c r="G114" s="470"/>
      <c r="H114" s="309">
        <v>0</v>
      </c>
      <c r="I114" s="309"/>
      <c r="J114" s="309">
        <f>E114*H114</f>
        <v>0</v>
      </c>
    </row>
    <row r="115" spans="1:10" x14ac:dyDescent="0.25">
      <c r="A115" s="457" t="s">
        <v>104</v>
      </c>
      <c r="B115" s="457" t="s">
        <v>17</v>
      </c>
      <c r="C115" s="471" t="s">
        <v>101</v>
      </c>
      <c r="D115" s="461" t="s">
        <v>102</v>
      </c>
      <c r="E115" s="461">
        <v>1</v>
      </c>
      <c r="F115" s="310">
        <v>1</v>
      </c>
      <c r="G115" s="472"/>
      <c r="H115" s="311"/>
      <c r="I115" s="311">
        <f>E115*G115</f>
        <v>0</v>
      </c>
      <c r="J115" s="311"/>
    </row>
    <row r="116" spans="1:10" ht="28.5" x14ac:dyDescent="0.25">
      <c r="A116" s="450" t="s">
        <v>61</v>
      </c>
      <c r="B116" s="450" t="s">
        <v>15</v>
      </c>
      <c r="C116" s="326" t="s">
        <v>103</v>
      </c>
      <c r="D116" s="451" t="s">
        <v>36</v>
      </c>
      <c r="E116" s="451">
        <v>2</v>
      </c>
      <c r="F116" s="308">
        <v>2</v>
      </c>
      <c r="G116" s="470"/>
      <c r="H116" s="309">
        <v>0</v>
      </c>
      <c r="I116" s="309"/>
      <c r="J116" s="309">
        <f>E116*H116</f>
        <v>0</v>
      </c>
    </row>
    <row r="117" spans="1:10" ht="28.5" x14ac:dyDescent="0.25">
      <c r="A117" s="450" t="s">
        <v>54</v>
      </c>
      <c r="B117" s="450" t="s">
        <v>15</v>
      </c>
      <c r="C117" s="451" t="s">
        <v>105</v>
      </c>
      <c r="D117" s="451" t="s">
        <v>25</v>
      </c>
      <c r="E117" s="451">
        <v>59</v>
      </c>
      <c r="F117" s="308">
        <v>59</v>
      </c>
      <c r="G117" s="309"/>
      <c r="H117" s="309">
        <v>0</v>
      </c>
      <c r="I117" s="309"/>
      <c r="J117" s="309">
        <f>E117*H117</f>
        <v>0</v>
      </c>
    </row>
    <row r="118" spans="1:10" ht="28.5" x14ac:dyDescent="0.25">
      <c r="A118" s="450" t="s">
        <v>57</v>
      </c>
      <c r="B118" s="451" t="s">
        <v>15</v>
      </c>
      <c r="C118" s="326" t="s">
        <v>103</v>
      </c>
      <c r="D118" s="451" t="s">
        <v>36</v>
      </c>
      <c r="E118" s="451">
        <v>1</v>
      </c>
      <c r="F118" s="308">
        <v>1</v>
      </c>
      <c r="G118" s="470"/>
      <c r="H118" s="309">
        <v>0</v>
      </c>
      <c r="I118" s="309"/>
      <c r="J118" s="309">
        <f>E118*H118</f>
        <v>0</v>
      </c>
    </row>
    <row r="119" spans="1:10" x14ac:dyDescent="0.25">
      <c r="A119" s="21"/>
      <c r="B119" s="46"/>
      <c r="C119" s="16" t="s">
        <v>19</v>
      </c>
      <c r="D119" s="15"/>
      <c r="E119" s="14"/>
      <c r="F119" s="229"/>
      <c r="G119" s="91"/>
      <c r="H119" s="18"/>
      <c r="I119" s="92">
        <f>SUM(I63:I118)</f>
        <v>0</v>
      </c>
      <c r="J119" s="20">
        <f>SUM(J63:J118)</f>
        <v>0</v>
      </c>
    </row>
    <row r="120" spans="1:10" ht="15.75" thickBot="1" x14ac:dyDescent="0.3">
      <c r="A120" s="85"/>
      <c r="B120" s="12"/>
      <c r="C120" s="37" t="s">
        <v>315</v>
      </c>
      <c r="D120" s="86"/>
      <c r="E120" s="280"/>
      <c r="F120" s="265"/>
      <c r="G120" s="87"/>
      <c r="H120" s="88"/>
      <c r="I120" s="89"/>
      <c r="J120" s="41">
        <f>I119+J119</f>
        <v>0</v>
      </c>
    </row>
    <row r="121" spans="1:10" s="93" customFormat="1" ht="15.75" thickBot="1" x14ac:dyDescent="0.3">
      <c r="A121" s="90"/>
      <c r="B121" s="13"/>
      <c r="C121" s="94" t="s">
        <v>180</v>
      </c>
      <c r="D121" s="8"/>
      <c r="E121" s="296"/>
      <c r="F121" s="266"/>
      <c r="G121" s="95"/>
      <c r="H121" s="43"/>
      <c r="I121" s="42">
        <f>I60+I119</f>
        <v>0</v>
      </c>
      <c r="J121" s="42">
        <f>J60+J119</f>
        <v>0</v>
      </c>
    </row>
    <row r="122" spans="1:10" ht="15.75" thickBot="1" x14ac:dyDescent="0.3">
      <c r="A122" s="96"/>
      <c r="B122" s="97"/>
      <c r="C122" s="98" t="s">
        <v>65</v>
      </c>
      <c r="D122" s="97"/>
      <c r="E122" s="99"/>
      <c r="F122" s="300"/>
      <c r="G122" s="100"/>
      <c r="H122" s="101"/>
      <c r="I122" s="102"/>
      <c r="J122" s="103">
        <f>J61+J120</f>
        <v>0</v>
      </c>
    </row>
    <row r="123" spans="1:10" ht="15.75" thickBot="1" x14ac:dyDescent="0.3">
      <c r="A123" s="96"/>
      <c r="B123" s="97"/>
      <c r="C123" s="98" t="s">
        <v>66</v>
      </c>
      <c r="D123" s="97"/>
      <c r="E123" s="99"/>
      <c r="F123" s="300"/>
      <c r="G123" s="100"/>
      <c r="H123" s="101"/>
      <c r="I123" s="102"/>
      <c r="J123" s="103">
        <f>J122/1.2*20%</f>
        <v>0</v>
      </c>
    </row>
    <row r="125" spans="1:10" s="105" customFormat="1" x14ac:dyDescent="0.25">
      <c r="A125" s="1"/>
      <c r="B125" s="1"/>
      <c r="C125" s="1"/>
      <c r="D125" s="1"/>
      <c r="E125" s="1"/>
      <c r="F125" s="1"/>
      <c r="G125" s="2"/>
      <c r="H125" s="2"/>
      <c r="I125" s="108"/>
      <c r="J125" s="104"/>
    </row>
    <row r="126" spans="1:10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106"/>
    </row>
  </sheetData>
  <mergeCells count="12">
    <mergeCell ref="I9:J9"/>
    <mergeCell ref="I1:J1"/>
    <mergeCell ref="G2:J2"/>
    <mergeCell ref="A5:J5"/>
    <mergeCell ref="A6:J6"/>
    <mergeCell ref="A7:J7"/>
    <mergeCell ref="A9:A10"/>
    <mergeCell ref="C9:C10"/>
    <mergeCell ref="D9:D10"/>
    <mergeCell ref="E9:E10"/>
    <mergeCell ref="G9:H9"/>
    <mergeCell ref="F9:F10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F828B-F610-4D6F-819A-6889156C3262}">
  <dimension ref="A1:Q90"/>
  <sheetViews>
    <sheetView topLeftCell="A52" workbookViewId="0">
      <selection activeCell="C9" sqref="C9:C10"/>
    </sheetView>
  </sheetViews>
  <sheetFormatPr defaultColWidth="9.140625" defaultRowHeight="15" x14ac:dyDescent="0.25"/>
  <cols>
    <col min="1" max="1" width="6" style="1" customWidth="1"/>
    <col min="2" max="2" width="17.7109375" style="128" customWidth="1"/>
    <col min="3" max="3" width="65.140625" style="1" customWidth="1"/>
    <col min="4" max="4" width="5.140625" style="1" customWidth="1"/>
    <col min="5" max="5" width="9.140625" style="1"/>
    <col min="6" max="6" width="13.85546875" style="1" bestFit="1" customWidth="1"/>
    <col min="7" max="10" width="11.7109375" style="2" customWidth="1"/>
    <col min="11" max="11" width="11.42578125" style="3" bestFit="1" customWidth="1"/>
    <col min="12" max="12" width="14.85546875" style="3" hidden="1" customWidth="1"/>
    <col min="13" max="14" width="11.42578125" style="3" hidden="1" customWidth="1"/>
    <col min="15" max="15" width="0" style="3" hidden="1" customWidth="1"/>
    <col min="16" max="16384" width="9.140625" style="3"/>
  </cols>
  <sheetData>
    <row r="1" spans="1:14" x14ac:dyDescent="0.25">
      <c r="I1" s="730" t="s">
        <v>0</v>
      </c>
      <c r="J1" s="730"/>
    </row>
    <row r="2" spans="1:14" ht="15" customHeight="1" x14ac:dyDescent="0.25">
      <c r="B2" s="128" t="s">
        <v>1</v>
      </c>
      <c r="C2" s="4" t="s">
        <v>2</v>
      </c>
      <c r="G2" s="730"/>
      <c r="H2" s="730"/>
      <c r="I2" s="730"/>
      <c r="J2" s="730"/>
    </row>
    <row r="3" spans="1:14" ht="15" customHeight="1" x14ac:dyDescent="0.25">
      <c r="G3" s="116"/>
      <c r="H3" s="116"/>
      <c r="I3" s="116"/>
      <c r="J3" s="116"/>
    </row>
    <row r="4" spans="1:14" ht="15" customHeight="1" x14ac:dyDescent="0.25">
      <c r="G4" s="116"/>
      <c r="H4" s="116"/>
      <c r="I4" s="116"/>
      <c r="J4" s="116"/>
    </row>
    <row r="5" spans="1:14" ht="15" customHeight="1" x14ac:dyDescent="0.25">
      <c r="A5" s="705" t="s">
        <v>181</v>
      </c>
      <c r="B5" s="705"/>
      <c r="C5" s="705"/>
      <c r="D5" s="705"/>
      <c r="E5" s="705"/>
      <c r="F5" s="705"/>
      <c r="G5" s="705"/>
      <c r="H5" s="705"/>
      <c r="I5" s="705"/>
      <c r="J5" s="705"/>
    </row>
    <row r="6" spans="1:14" ht="22.5" customHeight="1" x14ac:dyDescent="0.25">
      <c r="A6" s="706" t="s">
        <v>162</v>
      </c>
      <c r="B6" s="706"/>
      <c r="C6" s="706"/>
      <c r="D6" s="706"/>
      <c r="E6" s="706"/>
      <c r="F6" s="706"/>
      <c r="G6" s="706"/>
      <c r="H6" s="706"/>
      <c r="I6" s="706"/>
      <c r="J6" s="706"/>
    </row>
    <row r="7" spans="1:14" ht="33" customHeight="1" x14ac:dyDescent="0.25">
      <c r="A7" s="731" t="s">
        <v>67</v>
      </c>
      <c r="B7" s="731"/>
      <c r="C7" s="731"/>
      <c r="D7" s="731"/>
      <c r="E7" s="731"/>
      <c r="F7" s="731"/>
      <c r="G7" s="731"/>
      <c r="H7" s="731"/>
      <c r="I7" s="731"/>
      <c r="J7" s="731"/>
    </row>
    <row r="8" spans="1:14" s="5" customFormat="1" ht="15.75" thickBot="1" x14ac:dyDescent="0.3">
      <c r="A8" s="1"/>
      <c r="B8" s="128"/>
      <c r="C8" s="4"/>
      <c r="D8" s="1"/>
      <c r="E8" s="1"/>
      <c r="F8" s="1"/>
      <c r="G8" s="2"/>
      <c r="H8" s="2"/>
      <c r="I8" s="2"/>
      <c r="J8" s="2"/>
    </row>
    <row r="9" spans="1:14" s="5" customFormat="1" ht="15" customHeight="1" x14ac:dyDescent="0.25">
      <c r="A9" s="702" t="s">
        <v>4</v>
      </c>
      <c r="B9" s="129" t="s">
        <v>5</v>
      </c>
      <c r="C9" s="702" t="s">
        <v>6</v>
      </c>
      <c r="D9" s="702" t="s">
        <v>7</v>
      </c>
      <c r="E9" s="734" t="s">
        <v>8</v>
      </c>
      <c r="F9" s="732" t="s">
        <v>229</v>
      </c>
      <c r="G9" s="736" t="s">
        <v>9</v>
      </c>
      <c r="H9" s="729"/>
      <c r="I9" s="728" t="s">
        <v>10</v>
      </c>
      <c r="J9" s="729"/>
    </row>
    <row r="10" spans="1:14" ht="29.25" thickBot="1" x14ac:dyDescent="0.3">
      <c r="A10" s="703"/>
      <c r="B10" s="135" t="s">
        <v>11</v>
      </c>
      <c r="C10" s="703"/>
      <c r="D10" s="703"/>
      <c r="E10" s="735"/>
      <c r="F10" s="733"/>
      <c r="G10" s="321" t="s">
        <v>12</v>
      </c>
      <c r="H10" s="322" t="s">
        <v>13</v>
      </c>
      <c r="I10" s="323" t="s">
        <v>12</v>
      </c>
      <c r="J10" s="322" t="s">
        <v>13</v>
      </c>
    </row>
    <row r="11" spans="1:14" ht="15.75" thickBot="1" x14ac:dyDescent="0.3">
      <c r="A11" s="345"/>
      <c r="B11" s="346"/>
      <c r="C11" s="347"/>
      <c r="D11" s="348"/>
      <c r="E11" s="349"/>
      <c r="F11" s="358"/>
      <c r="G11" s="347"/>
      <c r="H11" s="347"/>
      <c r="I11" s="347"/>
      <c r="J11" s="348"/>
    </row>
    <row r="12" spans="1:14" x14ac:dyDescent="0.25">
      <c r="A12" s="392"/>
      <c r="B12" s="393" t="s">
        <v>14</v>
      </c>
      <c r="C12" s="394" t="s">
        <v>230</v>
      </c>
      <c r="D12" s="395"/>
      <c r="E12" s="396"/>
      <c r="F12" s="397"/>
      <c r="G12" s="398"/>
      <c r="H12" s="398"/>
      <c r="I12" s="398"/>
      <c r="J12" s="399"/>
    </row>
    <row r="13" spans="1:14" ht="42.75" x14ac:dyDescent="0.25">
      <c r="A13" s="373" t="s">
        <v>21</v>
      </c>
      <c r="B13" s="325" t="s">
        <v>15</v>
      </c>
      <c r="C13" s="326" t="s">
        <v>71</v>
      </c>
      <c r="D13" s="374" t="s">
        <v>16</v>
      </c>
      <c r="E13" s="350">
        <v>3879</v>
      </c>
      <c r="F13" s="359">
        <f>2255.96-F14-F15</f>
        <v>2032.2170424540245</v>
      </c>
      <c r="G13" s="327"/>
      <c r="H13" s="309">
        <v>0</v>
      </c>
      <c r="I13" s="309"/>
      <c r="J13" s="59">
        <f>E13*H13</f>
        <v>0</v>
      </c>
      <c r="L13" s="3">
        <v>2255.96</v>
      </c>
      <c r="M13" s="3">
        <f>E13+E14+E15</f>
        <v>4306.07</v>
      </c>
      <c r="N13" s="3">
        <f>E14/M13</f>
        <v>6.9181411356526945E-2</v>
      </c>
    </row>
    <row r="14" spans="1:14" ht="42.75" x14ac:dyDescent="0.25">
      <c r="A14" s="373" t="s">
        <v>22</v>
      </c>
      <c r="B14" s="325" t="s">
        <v>15</v>
      </c>
      <c r="C14" s="326" t="s">
        <v>163</v>
      </c>
      <c r="D14" s="374" t="s">
        <v>16</v>
      </c>
      <c r="E14" s="350">
        <v>297.89999999999998</v>
      </c>
      <c r="F14" s="359">
        <f>L13*N13</f>
        <v>156.07049676387052</v>
      </c>
      <c r="G14" s="327"/>
      <c r="H14" s="309">
        <v>0</v>
      </c>
      <c r="I14" s="309"/>
      <c r="J14" s="59">
        <f>E14*H14</f>
        <v>0</v>
      </c>
      <c r="N14" s="3">
        <f>E15/M13</f>
        <v>2.9997190013167457E-2</v>
      </c>
    </row>
    <row r="15" spans="1:14" ht="28.5" x14ac:dyDescent="0.25">
      <c r="A15" s="375">
        <v>3</v>
      </c>
      <c r="B15" s="324" t="s">
        <v>15</v>
      </c>
      <c r="C15" s="328" t="s">
        <v>72</v>
      </c>
      <c r="D15" s="376" t="s">
        <v>16</v>
      </c>
      <c r="E15" s="350">
        <v>129.16999999999999</v>
      </c>
      <c r="F15" s="359">
        <f>L13*N14</f>
        <v>67.672460782105262</v>
      </c>
      <c r="G15" s="311"/>
      <c r="H15" s="309">
        <v>0</v>
      </c>
      <c r="I15" s="311"/>
      <c r="J15" s="59">
        <f t="shared" ref="J15" si="0">E15*H15</f>
        <v>0</v>
      </c>
      <c r="K15" s="5"/>
      <c r="L15" s="3">
        <f>E13+E14+E15+E66+E67+E68</f>
        <v>4440.07</v>
      </c>
      <c r="M15" s="3">
        <f>F13+F14+F15+F66+F67+F68</f>
        <v>2515.4700000000003</v>
      </c>
    </row>
    <row r="16" spans="1:14" ht="28.5" x14ac:dyDescent="0.25">
      <c r="A16" s="373" t="s">
        <v>28</v>
      </c>
      <c r="B16" s="324" t="s">
        <v>15</v>
      </c>
      <c r="C16" s="328" t="s">
        <v>107</v>
      </c>
      <c r="D16" s="376" t="s">
        <v>16</v>
      </c>
      <c r="E16" s="350">
        <v>194</v>
      </c>
      <c r="F16" s="360">
        <v>231.67</v>
      </c>
      <c r="G16" s="309"/>
      <c r="H16" s="309">
        <v>0</v>
      </c>
      <c r="I16" s="309"/>
      <c r="J16" s="59">
        <f>E16*H16</f>
        <v>0</v>
      </c>
      <c r="K16" s="5"/>
      <c r="L16" s="66">
        <f>E16+E24</f>
        <v>240.44</v>
      </c>
      <c r="M16" s="66">
        <f>F16+F24</f>
        <v>275.15999999999997</v>
      </c>
    </row>
    <row r="17" spans="1:11" ht="27" customHeight="1" x14ac:dyDescent="0.25">
      <c r="A17" s="377" t="s">
        <v>30</v>
      </c>
      <c r="B17" s="329" t="s">
        <v>17</v>
      </c>
      <c r="C17" s="330" t="s">
        <v>109</v>
      </c>
      <c r="D17" s="378" t="s">
        <v>16</v>
      </c>
      <c r="E17" s="351">
        <v>213.4</v>
      </c>
      <c r="F17" s="361">
        <f>F16*1.1</f>
        <v>254.83700000000002</v>
      </c>
      <c r="G17" s="311">
        <v>0</v>
      </c>
      <c r="H17" s="311"/>
      <c r="I17" s="311">
        <f>E17*G17</f>
        <v>0</v>
      </c>
      <c r="J17" s="52"/>
      <c r="K17" s="5"/>
    </row>
    <row r="18" spans="1:11" ht="39.75" customHeight="1" x14ac:dyDescent="0.25">
      <c r="A18" s="375">
        <v>5</v>
      </c>
      <c r="B18" s="324" t="s">
        <v>15</v>
      </c>
      <c r="C18" s="328" t="s">
        <v>154</v>
      </c>
      <c r="D18" s="376" t="s">
        <v>16</v>
      </c>
      <c r="E18" s="350">
        <v>3994</v>
      </c>
      <c r="F18" s="362">
        <f>2255.96-F16-F24-10.93</f>
        <v>1969.87</v>
      </c>
      <c r="G18" s="311"/>
      <c r="H18" s="309">
        <v>0</v>
      </c>
      <c r="I18" s="311"/>
      <c r="J18" s="59">
        <f>E18*H18</f>
        <v>0</v>
      </c>
      <c r="K18" s="5"/>
    </row>
    <row r="19" spans="1:11" ht="28.5" x14ac:dyDescent="0.25">
      <c r="A19" s="375">
        <v>6</v>
      </c>
      <c r="B19" s="324" t="s">
        <v>15</v>
      </c>
      <c r="C19" s="328" t="s">
        <v>18</v>
      </c>
      <c r="D19" s="376" t="s">
        <v>16</v>
      </c>
      <c r="E19" s="350">
        <f>E18+E16</f>
        <v>4188</v>
      </c>
      <c r="F19" s="362">
        <f>F18+F16</f>
        <v>2201.54</v>
      </c>
      <c r="G19" s="309"/>
      <c r="H19" s="309">
        <v>0</v>
      </c>
      <c r="I19" s="309"/>
      <c r="J19" s="59">
        <f>E19*H19</f>
        <v>0</v>
      </c>
      <c r="K19" s="5"/>
    </row>
    <row r="20" spans="1:11" x14ac:dyDescent="0.25">
      <c r="A20" s="375"/>
      <c r="B20" s="324"/>
      <c r="C20" s="328" t="s">
        <v>19</v>
      </c>
      <c r="D20" s="376"/>
      <c r="E20" s="350"/>
      <c r="F20" s="363"/>
      <c r="G20" s="309"/>
      <c r="H20" s="309"/>
      <c r="I20" s="309">
        <f>SUM(J14:J19)</f>
        <v>0</v>
      </c>
      <c r="J20" s="59">
        <f>SUM(K13:K19)</f>
        <v>0</v>
      </c>
    </row>
    <row r="21" spans="1:11" ht="15.75" thickBot="1" x14ac:dyDescent="0.3">
      <c r="A21" s="400"/>
      <c r="B21" s="401"/>
      <c r="C21" s="402" t="s">
        <v>261</v>
      </c>
      <c r="D21" s="7"/>
      <c r="E21" s="403"/>
      <c r="F21" s="404"/>
      <c r="G21" s="405"/>
      <c r="H21" s="405"/>
      <c r="I21" s="405"/>
      <c r="J21" s="283">
        <f>I20+J20</f>
        <v>0</v>
      </c>
    </row>
    <row r="22" spans="1:11" x14ac:dyDescent="0.25">
      <c r="A22" s="414"/>
      <c r="B22" s="415" t="s">
        <v>20</v>
      </c>
      <c r="C22" s="394" t="s">
        <v>232</v>
      </c>
      <c r="D22" s="416"/>
      <c r="E22" s="417"/>
      <c r="F22" s="414"/>
      <c r="G22" s="418"/>
      <c r="H22" s="418"/>
      <c r="I22" s="418"/>
      <c r="J22" s="419"/>
    </row>
    <row r="23" spans="1:11" x14ac:dyDescent="0.25">
      <c r="A23" s="375"/>
      <c r="B23" s="324"/>
      <c r="C23" s="328"/>
      <c r="D23" s="376"/>
      <c r="E23" s="350"/>
      <c r="F23" s="363"/>
      <c r="G23" s="309"/>
      <c r="H23" s="309"/>
      <c r="I23" s="309"/>
      <c r="J23" s="59"/>
      <c r="K23" s="5"/>
    </row>
    <row r="24" spans="1:11" x14ac:dyDescent="0.25">
      <c r="A24" s="379" t="s">
        <v>43</v>
      </c>
      <c r="B24" s="331" t="s">
        <v>15</v>
      </c>
      <c r="C24" s="332" t="s">
        <v>74</v>
      </c>
      <c r="D24" s="380" t="s">
        <v>16</v>
      </c>
      <c r="E24" s="352">
        <v>46.44</v>
      </c>
      <c r="F24" s="364">
        <v>43.49</v>
      </c>
      <c r="G24" s="333"/>
      <c r="H24" s="334">
        <v>0</v>
      </c>
      <c r="I24" s="333"/>
      <c r="J24" s="165">
        <f>E24*H24</f>
        <v>0</v>
      </c>
    </row>
    <row r="25" spans="1:11" ht="30" x14ac:dyDescent="0.25">
      <c r="A25" s="381" t="s">
        <v>45</v>
      </c>
      <c r="B25" s="335" t="s">
        <v>17</v>
      </c>
      <c r="C25" s="336" t="s">
        <v>109</v>
      </c>
      <c r="D25" s="382" t="s">
        <v>16</v>
      </c>
      <c r="E25" s="353">
        <f>1.1*E24</f>
        <v>51.084000000000003</v>
      </c>
      <c r="F25" s="359">
        <f>F24*1.1</f>
        <v>47.839000000000006</v>
      </c>
      <c r="G25" s="333">
        <v>0</v>
      </c>
      <c r="H25" s="333"/>
      <c r="I25" s="333">
        <f>E25*G25</f>
        <v>0</v>
      </c>
      <c r="J25" s="166"/>
    </row>
    <row r="26" spans="1:11" x14ac:dyDescent="0.25">
      <c r="A26" s="379" t="s">
        <v>52</v>
      </c>
      <c r="B26" s="337" t="s">
        <v>15</v>
      </c>
      <c r="C26" s="332" t="s">
        <v>164</v>
      </c>
      <c r="D26" s="380" t="s">
        <v>16</v>
      </c>
      <c r="E26" s="354">
        <v>2.6840000000000002</v>
      </c>
      <c r="F26" s="365">
        <v>2.6840000000000002</v>
      </c>
      <c r="G26" s="334"/>
      <c r="H26" s="334">
        <v>0</v>
      </c>
      <c r="I26" s="334"/>
      <c r="J26" s="165">
        <f>E26*H26</f>
        <v>0</v>
      </c>
    </row>
    <row r="27" spans="1:11" ht="30" x14ac:dyDescent="0.25">
      <c r="A27" s="381" t="s">
        <v>80</v>
      </c>
      <c r="B27" s="335" t="s">
        <v>17</v>
      </c>
      <c r="C27" s="336" t="s">
        <v>187</v>
      </c>
      <c r="D27" s="382" t="s">
        <v>16</v>
      </c>
      <c r="E27" s="354">
        <f>E26*1.25</f>
        <v>3.3550000000000004</v>
      </c>
      <c r="F27" s="365">
        <v>3.355</v>
      </c>
      <c r="G27" s="333">
        <v>0</v>
      </c>
      <c r="H27" s="333"/>
      <c r="I27" s="333">
        <f>E27*G27</f>
        <v>0</v>
      </c>
      <c r="J27" s="166"/>
    </row>
    <row r="28" spans="1:11" ht="28.5" x14ac:dyDescent="0.25">
      <c r="A28" s="379" t="s">
        <v>54</v>
      </c>
      <c r="B28" s="337" t="s">
        <v>15</v>
      </c>
      <c r="C28" s="332" t="s">
        <v>168</v>
      </c>
      <c r="D28" s="380" t="s">
        <v>25</v>
      </c>
      <c r="E28" s="353">
        <v>18.100000000000001</v>
      </c>
      <c r="F28" s="359">
        <v>18.100000000000001</v>
      </c>
      <c r="G28" s="334"/>
      <c r="H28" s="334">
        <v>0</v>
      </c>
      <c r="I28" s="334"/>
      <c r="J28" s="165">
        <f>E28*H28</f>
        <v>0</v>
      </c>
    </row>
    <row r="29" spans="1:11" ht="45" x14ac:dyDescent="0.25">
      <c r="A29" s="381" t="s">
        <v>56</v>
      </c>
      <c r="B29" s="335" t="s">
        <v>17</v>
      </c>
      <c r="C29" s="336" t="s">
        <v>197</v>
      </c>
      <c r="D29" s="382" t="s">
        <v>25</v>
      </c>
      <c r="E29" s="355">
        <v>18.55</v>
      </c>
      <c r="F29" s="366">
        <v>18.55</v>
      </c>
      <c r="G29" s="333">
        <v>0</v>
      </c>
      <c r="H29" s="333"/>
      <c r="I29" s="333">
        <f>E29*G29</f>
        <v>0</v>
      </c>
      <c r="J29" s="166"/>
    </row>
    <row r="30" spans="1:11" ht="28.5" x14ac:dyDescent="0.25">
      <c r="A30" s="379" t="s">
        <v>57</v>
      </c>
      <c r="B30" s="337" t="s">
        <v>15</v>
      </c>
      <c r="C30" s="332" t="s">
        <v>188</v>
      </c>
      <c r="D30" s="380" t="s">
        <v>25</v>
      </c>
      <c r="E30" s="353">
        <v>194.5</v>
      </c>
      <c r="F30" s="359">
        <v>178.9</v>
      </c>
      <c r="G30" s="334"/>
      <c r="H30" s="334">
        <v>0</v>
      </c>
      <c r="I30" s="334"/>
      <c r="J30" s="165">
        <f>E30*H30</f>
        <v>0</v>
      </c>
    </row>
    <row r="31" spans="1:11" ht="45" x14ac:dyDescent="0.25">
      <c r="A31" s="381" t="s">
        <v>58</v>
      </c>
      <c r="B31" s="335" t="s">
        <v>17</v>
      </c>
      <c r="C31" s="336" t="s">
        <v>194</v>
      </c>
      <c r="D31" s="382" t="s">
        <v>25</v>
      </c>
      <c r="E31" s="355">
        <v>199.3</v>
      </c>
      <c r="F31" s="366">
        <f>1.02*F30</f>
        <v>182.47800000000001</v>
      </c>
      <c r="G31" s="333">
        <v>0</v>
      </c>
      <c r="H31" s="333"/>
      <c r="I31" s="333">
        <f>E31*G31</f>
        <v>0</v>
      </c>
      <c r="J31" s="166"/>
    </row>
    <row r="32" spans="1:11" x14ac:dyDescent="0.25">
      <c r="A32" s="381" t="s">
        <v>170</v>
      </c>
      <c r="B32" s="335" t="s">
        <v>17</v>
      </c>
      <c r="C32" s="336" t="s">
        <v>195</v>
      </c>
      <c r="D32" s="382" t="s">
        <v>36</v>
      </c>
      <c r="E32" s="355">
        <v>122</v>
      </c>
      <c r="F32" s="366">
        <v>122</v>
      </c>
      <c r="G32" s="333">
        <v>0</v>
      </c>
      <c r="H32" s="333"/>
      <c r="I32" s="333">
        <f>E32*G32</f>
        <v>0</v>
      </c>
      <c r="J32" s="166"/>
    </row>
    <row r="33" spans="1:10" x14ac:dyDescent="0.25">
      <c r="A33" s="381" t="s">
        <v>199</v>
      </c>
      <c r="B33" s="335" t="s">
        <v>17</v>
      </c>
      <c r="C33" s="336" t="s">
        <v>196</v>
      </c>
      <c r="D33" s="383" t="s">
        <v>36</v>
      </c>
      <c r="E33" s="351">
        <v>60</v>
      </c>
      <c r="F33" s="367">
        <v>60</v>
      </c>
      <c r="G33" s="333">
        <v>0</v>
      </c>
      <c r="H33" s="333"/>
      <c r="I33" s="333">
        <f>E33*G33</f>
        <v>0</v>
      </c>
      <c r="J33" s="166"/>
    </row>
    <row r="34" spans="1:10" ht="28.5" x14ac:dyDescent="0.25">
      <c r="A34" s="379" t="s">
        <v>86</v>
      </c>
      <c r="B34" s="337" t="s">
        <v>15</v>
      </c>
      <c r="C34" s="338" t="s">
        <v>208</v>
      </c>
      <c r="D34" s="384" t="s">
        <v>25</v>
      </c>
      <c r="E34" s="350">
        <v>17.2</v>
      </c>
      <c r="F34" s="363">
        <v>17.2</v>
      </c>
      <c r="G34" s="334"/>
      <c r="H34" s="334">
        <v>0</v>
      </c>
      <c r="I34" s="334"/>
      <c r="J34" s="165">
        <f>E34*H34</f>
        <v>0</v>
      </c>
    </row>
    <row r="35" spans="1:10" x14ac:dyDescent="0.25">
      <c r="A35" s="381" t="s">
        <v>91</v>
      </c>
      <c r="B35" s="335" t="s">
        <v>17</v>
      </c>
      <c r="C35" s="339" t="s">
        <v>206</v>
      </c>
      <c r="D35" s="383" t="s">
        <v>36</v>
      </c>
      <c r="E35" s="351">
        <v>11</v>
      </c>
      <c r="F35" s="367">
        <v>11</v>
      </c>
      <c r="G35" s="333">
        <v>0</v>
      </c>
      <c r="H35" s="333"/>
      <c r="I35" s="333">
        <f>E35*G35</f>
        <v>0</v>
      </c>
      <c r="J35" s="166"/>
    </row>
    <row r="36" spans="1:10" ht="45" x14ac:dyDescent="0.25">
      <c r="A36" s="381" t="s">
        <v>92</v>
      </c>
      <c r="B36" s="335" t="s">
        <v>17</v>
      </c>
      <c r="C36" s="339" t="s">
        <v>205</v>
      </c>
      <c r="D36" s="383" t="s">
        <v>25</v>
      </c>
      <c r="E36" s="351">
        <v>17.2</v>
      </c>
      <c r="F36" s="361">
        <f>F34*1.02</f>
        <v>17.544</v>
      </c>
      <c r="G36" s="333">
        <v>0</v>
      </c>
      <c r="H36" s="333"/>
      <c r="I36" s="333">
        <f>E36*G36</f>
        <v>0</v>
      </c>
      <c r="J36" s="166"/>
    </row>
    <row r="37" spans="1:10" ht="28.5" x14ac:dyDescent="0.25">
      <c r="A37" s="379" t="s">
        <v>90</v>
      </c>
      <c r="B37" s="331" t="s">
        <v>15</v>
      </c>
      <c r="C37" s="340" t="s">
        <v>192</v>
      </c>
      <c r="D37" s="380" t="s">
        <v>25</v>
      </c>
      <c r="E37" s="350">
        <v>19.600000000000001</v>
      </c>
      <c r="F37" s="363">
        <v>19.600000000000001</v>
      </c>
      <c r="G37" s="333"/>
      <c r="H37" s="334">
        <v>0</v>
      </c>
      <c r="I37" s="333"/>
      <c r="J37" s="165">
        <f>E37*H37</f>
        <v>0</v>
      </c>
    </row>
    <row r="38" spans="1:10" ht="28.5" customHeight="1" x14ac:dyDescent="0.25">
      <c r="A38" s="381" t="s">
        <v>93</v>
      </c>
      <c r="B38" s="335" t="s">
        <v>17</v>
      </c>
      <c r="C38" s="336" t="s">
        <v>193</v>
      </c>
      <c r="D38" s="382" t="s">
        <v>25</v>
      </c>
      <c r="E38" s="356">
        <v>19.600000000000001</v>
      </c>
      <c r="F38" s="368">
        <v>19.600000000000001</v>
      </c>
      <c r="G38" s="333">
        <v>0</v>
      </c>
      <c r="H38" s="334"/>
      <c r="I38" s="333">
        <f>E38*G38</f>
        <v>0</v>
      </c>
      <c r="J38" s="165"/>
    </row>
    <row r="39" spans="1:10" x14ac:dyDescent="0.25">
      <c r="A39" s="379" t="s">
        <v>167</v>
      </c>
      <c r="B39" s="331" t="s">
        <v>15</v>
      </c>
      <c r="C39" s="340" t="s">
        <v>198</v>
      </c>
      <c r="D39" s="380" t="s">
        <v>60</v>
      </c>
      <c r="E39" s="350">
        <v>536.15</v>
      </c>
      <c r="F39" s="359">
        <f>(F13+F14+F15-F18)*1.8</f>
        <v>514.96200000000033</v>
      </c>
      <c r="G39" s="333"/>
      <c r="H39" s="334">
        <v>0</v>
      </c>
      <c r="I39" s="333"/>
      <c r="J39" s="165">
        <f>E39*H39</f>
        <v>0</v>
      </c>
    </row>
    <row r="40" spans="1:10" ht="88.5" customHeight="1" x14ac:dyDescent="0.25">
      <c r="A40" s="379" t="s">
        <v>99</v>
      </c>
      <c r="B40" s="337" t="s">
        <v>15</v>
      </c>
      <c r="C40" s="341" t="s">
        <v>44</v>
      </c>
      <c r="D40" s="380" t="s">
        <v>36</v>
      </c>
      <c r="E40" s="350">
        <v>14</v>
      </c>
      <c r="F40" s="363">
        <v>14</v>
      </c>
      <c r="G40" s="334"/>
      <c r="H40" s="334">
        <v>0</v>
      </c>
      <c r="I40" s="334"/>
      <c r="J40" s="165">
        <f>E40*H40</f>
        <v>0</v>
      </c>
    </row>
    <row r="41" spans="1:10" x14ac:dyDescent="0.25">
      <c r="A41" s="381" t="s">
        <v>104</v>
      </c>
      <c r="B41" s="335" t="s">
        <v>17</v>
      </c>
      <c r="C41" s="336" t="s">
        <v>46</v>
      </c>
      <c r="D41" s="385" t="s">
        <v>36</v>
      </c>
      <c r="E41" s="351">
        <v>37</v>
      </c>
      <c r="F41" s="367">
        <v>34</v>
      </c>
      <c r="G41" s="333">
        <v>0</v>
      </c>
      <c r="H41" s="334"/>
      <c r="I41" s="333">
        <f t="shared" ref="I41:I46" si="1">E41*G41</f>
        <v>0</v>
      </c>
      <c r="J41" s="165"/>
    </row>
    <row r="42" spans="1:10" ht="30" x14ac:dyDescent="0.25">
      <c r="A42" s="381" t="s">
        <v>169</v>
      </c>
      <c r="B42" s="335" t="s">
        <v>17</v>
      </c>
      <c r="C42" s="336" t="s">
        <v>131</v>
      </c>
      <c r="D42" s="385" t="s">
        <v>36</v>
      </c>
      <c r="E42" s="351">
        <v>14</v>
      </c>
      <c r="F42" s="367">
        <v>14</v>
      </c>
      <c r="G42" s="333">
        <v>0</v>
      </c>
      <c r="H42" s="334"/>
      <c r="I42" s="333">
        <f t="shared" si="1"/>
        <v>0</v>
      </c>
      <c r="J42" s="165"/>
    </row>
    <row r="43" spans="1:10" ht="30" x14ac:dyDescent="0.25">
      <c r="A43" s="381" t="s">
        <v>200</v>
      </c>
      <c r="B43" s="335" t="s">
        <v>17</v>
      </c>
      <c r="C43" s="336" t="s">
        <v>132</v>
      </c>
      <c r="D43" s="385" t="s">
        <v>36</v>
      </c>
      <c r="E43" s="351">
        <v>16</v>
      </c>
      <c r="F43" s="367">
        <v>16</v>
      </c>
      <c r="G43" s="333">
        <v>0</v>
      </c>
      <c r="H43" s="334"/>
      <c r="I43" s="333">
        <f t="shared" si="1"/>
        <v>0</v>
      </c>
      <c r="J43" s="165"/>
    </row>
    <row r="44" spans="1:10" ht="30" x14ac:dyDescent="0.25">
      <c r="A44" s="381" t="s">
        <v>201</v>
      </c>
      <c r="B44" s="335" t="s">
        <v>17</v>
      </c>
      <c r="C44" s="336" t="s">
        <v>133</v>
      </c>
      <c r="D44" s="385" t="s">
        <v>36</v>
      </c>
      <c r="E44" s="351">
        <v>10</v>
      </c>
      <c r="F44" s="367">
        <v>10</v>
      </c>
      <c r="G44" s="333">
        <v>0</v>
      </c>
      <c r="H44" s="334"/>
      <c r="I44" s="333">
        <f t="shared" si="1"/>
        <v>0</v>
      </c>
      <c r="J44" s="165"/>
    </row>
    <row r="45" spans="1:10" ht="30" x14ac:dyDescent="0.25">
      <c r="A45" s="381" t="s">
        <v>202</v>
      </c>
      <c r="B45" s="335" t="s">
        <v>17</v>
      </c>
      <c r="C45" s="336" t="s">
        <v>134</v>
      </c>
      <c r="D45" s="385" t="s">
        <v>36</v>
      </c>
      <c r="E45" s="351">
        <v>14</v>
      </c>
      <c r="F45" s="367">
        <v>14</v>
      </c>
      <c r="G45" s="333">
        <v>0</v>
      </c>
      <c r="H45" s="334"/>
      <c r="I45" s="333">
        <f t="shared" si="1"/>
        <v>0</v>
      </c>
      <c r="J45" s="165"/>
    </row>
    <row r="46" spans="1:10" ht="30" x14ac:dyDescent="0.25">
      <c r="A46" s="381" t="s">
        <v>203</v>
      </c>
      <c r="B46" s="335" t="s">
        <v>17</v>
      </c>
      <c r="C46" s="336" t="s">
        <v>135</v>
      </c>
      <c r="D46" s="385" t="s">
        <v>36</v>
      </c>
      <c r="E46" s="351">
        <v>15</v>
      </c>
      <c r="F46" s="367">
        <v>15</v>
      </c>
      <c r="G46" s="333">
        <v>0</v>
      </c>
      <c r="H46" s="334"/>
      <c r="I46" s="333">
        <f t="shared" si="1"/>
        <v>0</v>
      </c>
      <c r="J46" s="165"/>
    </row>
    <row r="47" spans="1:10" x14ac:dyDescent="0.25">
      <c r="A47" s="381" t="s">
        <v>204</v>
      </c>
      <c r="B47" s="335" t="s">
        <v>17</v>
      </c>
      <c r="C47" s="336" t="s">
        <v>189</v>
      </c>
      <c r="D47" s="385" t="s">
        <v>36</v>
      </c>
      <c r="E47" s="351">
        <v>14</v>
      </c>
      <c r="F47" s="367">
        <v>14</v>
      </c>
      <c r="G47" s="333">
        <v>0</v>
      </c>
      <c r="H47" s="334"/>
      <c r="I47" s="333">
        <f>E47*G47</f>
        <v>0</v>
      </c>
      <c r="J47" s="165"/>
    </row>
    <row r="48" spans="1:10" ht="42.75" x14ac:dyDescent="0.25">
      <c r="A48" s="379" t="s">
        <v>61</v>
      </c>
      <c r="B48" s="331" t="s">
        <v>15</v>
      </c>
      <c r="C48" s="332" t="s">
        <v>136</v>
      </c>
      <c r="D48" s="380" t="s">
        <v>36</v>
      </c>
      <c r="E48" s="350">
        <v>2</v>
      </c>
      <c r="F48" s="363">
        <v>2</v>
      </c>
      <c r="G48" s="334"/>
      <c r="H48" s="334">
        <v>0</v>
      </c>
      <c r="I48" s="334"/>
      <c r="J48" s="165">
        <f>E48*H48</f>
        <v>0</v>
      </c>
    </row>
    <row r="49" spans="1:10" x14ac:dyDescent="0.25">
      <c r="A49" s="381" t="s">
        <v>62</v>
      </c>
      <c r="B49" s="342" t="s">
        <v>17</v>
      </c>
      <c r="C49" s="336" t="s">
        <v>137</v>
      </c>
      <c r="D49" s="382" t="s">
        <v>36</v>
      </c>
      <c r="E49" s="351">
        <v>2</v>
      </c>
      <c r="F49" s="367">
        <v>2</v>
      </c>
      <c r="G49" s="333">
        <v>0</v>
      </c>
      <c r="H49" s="333"/>
      <c r="I49" s="333">
        <f t="shared" ref="I49:I56" si="2">E49*G49</f>
        <v>0</v>
      </c>
      <c r="J49" s="166"/>
    </row>
    <row r="50" spans="1:10" ht="30" x14ac:dyDescent="0.25">
      <c r="A50" s="381" t="s">
        <v>63</v>
      </c>
      <c r="B50" s="342" t="s">
        <v>17</v>
      </c>
      <c r="C50" s="336" t="s">
        <v>138</v>
      </c>
      <c r="D50" s="382" t="s">
        <v>36</v>
      </c>
      <c r="E50" s="351">
        <v>2</v>
      </c>
      <c r="F50" s="367">
        <v>2</v>
      </c>
      <c r="G50" s="333">
        <v>0</v>
      </c>
      <c r="H50" s="333"/>
      <c r="I50" s="333">
        <f t="shared" si="2"/>
        <v>0</v>
      </c>
      <c r="J50" s="166"/>
    </row>
    <row r="51" spans="1:10" ht="30" x14ac:dyDescent="0.25">
      <c r="A51" s="381" t="s">
        <v>209</v>
      </c>
      <c r="B51" s="342" t="s">
        <v>17</v>
      </c>
      <c r="C51" s="336" t="s">
        <v>139</v>
      </c>
      <c r="D51" s="382" t="s">
        <v>36</v>
      </c>
      <c r="E51" s="351">
        <v>4</v>
      </c>
      <c r="F51" s="367">
        <v>4</v>
      </c>
      <c r="G51" s="333">
        <v>0</v>
      </c>
      <c r="H51" s="333"/>
      <c r="I51" s="333">
        <f t="shared" si="2"/>
        <v>0</v>
      </c>
      <c r="J51" s="166"/>
    </row>
    <row r="52" spans="1:10" ht="30" x14ac:dyDescent="0.25">
      <c r="A52" s="381" t="s">
        <v>210</v>
      </c>
      <c r="B52" s="342" t="s">
        <v>17</v>
      </c>
      <c r="C52" s="336" t="s">
        <v>140</v>
      </c>
      <c r="D52" s="382" t="s">
        <v>36</v>
      </c>
      <c r="E52" s="351">
        <v>2</v>
      </c>
      <c r="F52" s="367">
        <v>2</v>
      </c>
      <c r="G52" s="333">
        <v>0</v>
      </c>
      <c r="H52" s="333"/>
      <c r="I52" s="333">
        <f t="shared" si="2"/>
        <v>0</v>
      </c>
      <c r="J52" s="166"/>
    </row>
    <row r="53" spans="1:10" ht="30" x14ac:dyDescent="0.25">
      <c r="A53" s="381" t="s">
        <v>211</v>
      </c>
      <c r="B53" s="342" t="s">
        <v>17</v>
      </c>
      <c r="C53" s="336" t="s">
        <v>141</v>
      </c>
      <c r="D53" s="382" t="s">
        <v>36</v>
      </c>
      <c r="E53" s="351">
        <v>2</v>
      </c>
      <c r="F53" s="367">
        <v>2</v>
      </c>
      <c r="G53" s="333">
        <v>0</v>
      </c>
      <c r="H53" s="333"/>
      <c r="I53" s="333">
        <f t="shared" si="2"/>
        <v>0</v>
      </c>
      <c r="J53" s="166"/>
    </row>
    <row r="54" spans="1:10" ht="30" x14ac:dyDescent="0.25">
      <c r="A54" s="381" t="s">
        <v>212</v>
      </c>
      <c r="B54" s="342" t="s">
        <v>17</v>
      </c>
      <c r="C54" s="336" t="s">
        <v>215</v>
      </c>
      <c r="D54" s="382" t="s">
        <v>36</v>
      </c>
      <c r="E54" s="351">
        <v>2</v>
      </c>
      <c r="F54" s="367">
        <v>0</v>
      </c>
      <c r="G54" s="333">
        <v>0</v>
      </c>
      <c r="H54" s="333"/>
      <c r="I54" s="333">
        <f t="shared" si="2"/>
        <v>0</v>
      </c>
      <c r="J54" s="166"/>
    </row>
    <row r="55" spans="1:10" ht="30" x14ac:dyDescent="0.25">
      <c r="A55" s="381" t="s">
        <v>213</v>
      </c>
      <c r="B55" s="342" t="s">
        <v>17</v>
      </c>
      <c r="C55" s="336" t="s">
        <v>142</v>
      </c>
      <c r="D55" s="382" t="s">
        <v>36</v>
      </c>
      <c r="E55" s="351">
        <v>6</v>
      </c>
      <c r="F55" s="367">
        <v>6</v>
      </c>
      <c r="G55" s="333">
        <v>0</v>
      </c>
      <c r="H55" s="333"/>
      <c r="I55" s="333">
        <f t="shared" si="2"/>
        <v>0</v>
      </c>
      <c r="J55" s="166"/>
    </row>
    <row r="56" spans="1:10" ht="30" x14ac:dyDescent="0.25">
      <c r="A56" s="381" t="s">
        <v>216</v>
      </c>
      <c r="B56" s="342" t="s">
        <v>17</v>
      </c>
      <c r="C56" s="336" t="s">
        <v>143</v>
      </c>
      <c r="D56" s="382" t="s">
        <v>36</v>
      </c>
      <c r="E56" s="351">
        <v>2</v>
      </c>
      <c r="F56" s="367">
        <v>2</v>
      </c>
      <c r="G56" s="333">
        <v>0</v>
      </c>
      <c r="H56" s="333"/>
      <c r="I56" s="333">
        <f t="shared" si="2"/>
        <v>0</v>
      </c>
      <c r="J56" s="166"/>
    </row>
    <row r="57" spans="1:10" ht="28.5" x14ac:dyDescent="0.25">
      <c r="A57" s="379" t="s">
        <v>64</v>
      </c>
      <c r="B57" s="337" t="s">
        <v>15</v>
      </c>
      <c r="C57" s="338" t="s">
        <v>53</v>
      </c>
      <c r="D57" s="386" t="s">
        <v>36</v>
      </c>
      <c r="E57" s="350">
        <v>33</v>
      </c>
      <c r="F57" s="363">
        <v>33</v>
      </c>
      <c r="G57" s="334"/>
      <c r="H57" s="334">
        <v>0</v>
      </c>
      <c r="I57" s="334"/>
      <c r="J57" s="165">
        <f>E57*H57</f>
        <v>0</v>
      </c>
    </row>
    <row r="58" spans="1:10" x14ac:dyDescent="0.25">
      <c r="A58" s="379" t="s">
        <v>106</v>
      </c>
      <c r="B58" s="331" t="s">
        <v>15</v>
      </c>
      <c r="C58" s="332" t="s">
        <v>55</v>
      </c>
      <c r="D58" s="380" t="s">
        <v>36</v>
      </c>
      <c r="E58" s="350">
        <v>16</v>
      </c>
      <c r="F58" s="363">
        <v>16</v>
      </c>
      <c r="G58" s="334"/>
      <c r="H58" s="334">
        <v>0</v>
      </c>
      <c r="I58" s="334"/>
      <c r="J58" s="165">
        <f>E58*H58</f>
        <v>0</v>
      </c>
    </row>
    <row r="59" spans="1:10" x14ac:dyDescent="0.25">
      <c r="A59" s="381" t="s">
        <v>178</v>
      </c>
      <c r="B59" s="342" t="s">
        <v>17</v>
      </c>
      <c r="C59" s="336" t="s">
        <v>150</v>
      </c>
      <c r="D59" s="382" t="s">
        <v>36</v>
      </c>
      <c r="E59" s="351">
        <v>10</v>
      </c>
      <c r="F59" s="367">
        <v>10</v>
      </c>
      <c r="G59" s="333">
        <v>0</v>
      </c>
      <c r="H59" s="333"/>
      <c r="I59" s="333">
        <f>E59*G59</f>
        <v>0</v>
      </c>
      <c r="J59" s="166"/>
    </row>
    <row r="60" spans="1:10" x14ac:dyDescent="0.25">
      <c r="A60" s="381" t="s">
        <v>214</v>
      </c>
      <c r="B60" s="342" t="s">
        <v>17</v>
      </c>
      <c r="C60" s="336" t="s">
        <v>151</v>
      </c>
      <c r="D60" s="382" t="s">
        <v>36</v>
      </c>
      <c r="E60" s="351">
        <v>6</v>
      </c>
      <c r="F60" s="367">
        <v>6</v>
      </c>
      <c r="G60" s="333">
        <v>0</v>
      </c>
      <c r="H60" s="333"/>
      <c r="I60" s="333">
        <f>E60*G60</f>
        <v>0</v>
      </c>
      <c r="J60" s="166"/>
    </row>
    <row r="61" spans="1:10" ht="28.5" x14ac:dyDescent="0.25">
      <c r="A61" s="379" t="s">
        <v>108</v>
      </c>
      <c r="B61" s="331" t="s">
        <v>15</v>
      </c>
      <c r="C61" s="332" t="s">
        <v>190</v>
      </c>
      <c r="D61" s="380" t="s">
        <v>25</v>
      </c>
      <c r="E61" s="350">
        <v>232.2</v>
      </c>
      <c r="F61" s="359">
        <f>F28+F30+F34</f>
        <v>214.2</v>
      </c>
      <c r="G61" s="334"/>
      <c r="H61" s="334">
        <v>0</v>
      </c>
      <c r="I61" s="334"/>
      <c r="J61" s="165">
        <f>E61*H61</f>
        <v>0</v>
      </c>
    </row>
    <row r="62" spans="1:10" ht="28.5" x14ac:dyDescent="0.25">
      <c r="A62" s="379" t="s">
        <v>111</v>
      </c>
      <c r="B62" s="337" t="s">
        <v>15</v>
      </c>
      <c r="C62" s="332" t="s">
        <v>191</v>
      </c>
      <c r="D62" s="380" t="s">
        <v>25</v>
      </c>
      <c r="E62" s="350">
        <v>232.2</v>
      </c>
      <c r="F62" s="359">
        <f>F61</f>
        <v>214.2</v>
      </c>
      <c r="G62" s="334"/>
      <c r="H62" s="334">
        <v>0</v>
      </c>
      <c r="I62" s="334"/>
      <c r="J62" s="165">
        <f>E62*H62</f>
        <v>0</v>
      </c>
    </row>
    <row r="63" spans="1:10" x14ac:dyDescent="0.25">
      <c r="A63" s="381"/>
      <c r="B63" s="335"/>
      <c r="C63" s="332" t="s">
        <v>19</v>
      </c>
      <c r="D63" s="380"/>
      <c r="E63" s="353"/>
      <c r="F63" s="359"/>
      <c r="G63" s="334"/>
      <c r="H63" s="334"/>
      <c r="I63" s="334">
        <f>SUM(I24:I62)</f>
        <v>0</v>
      </c>
      <c r="J63" s="165">
        <f>SUM(J24:J62)</f>
        <v>0</v>
      </c>
    </row>
    <row r="64" spans="1:10" ht="15.75" thickBot="1" x14ac:dyDescent="0.3">
      <c r="A64" s="429"/>
      <c r="B64" s="430"/>
      <c r="C64" s="422" t="s">
        <v>262</v>
      </c>
      <c r="D64" s="423"/>
      <c r="E64" s="403"/>
      <c r="F64" s="404"/>
      <c r="G64" s="424"/>
      <c r="H64" s="424"/>
      <c r="I64" s="424"/>
      <c r="J64" s="372">
        <f>I63+J63</f>
        <v>0</v>
      </c>
    </row>
    <row r="65" spans="1:17" ht="22.5" customHeight="1" x14ac:dyDescent="0.25">
      <c r="A65" s="425"/>
      <c r="B65" s="343" t="s">
        <v>59</v>
      </c>
      <c r="C65" s="344" t="s">
        <v>231</v>
      </c>
      <c r="D65" s="426"/>
      <c r="E65" s="427"/>
      <c r="F65" s="428"/>
      <c r="G65" s="344"/>
      <c r="H65" s="344"/>
      <c r="I65" s="344"/>
      <c r="J65" s="426"/>
    </row>
    <row r="66" spans="1:17" ht="29.25" customHeight="1" x14ac:dyDescent="0.25">
      <c r="A66" s="379" t="s">
        <v>113</v>
      </c>
      <c r="B66" s="337" t="s">
        <v>15</v>
      </c>
      <c r="C66" s="338" t="s">
        <v>71</v>
      </c>
      <c r="D66" s="386" t="s">
        <v>16</v>
      </c>
      <c r="E66" s="350">
        <v>120</v>
      </c>
      <c r="F66" s="363">
        <f>259.51-F67-F68</f>
        <v>232.35999999999999</v>
      </c>
      <c r="G66" s="334"/>
      <c r="H66" s="334">
        <v>0</v>
      </c>
      <c r="I66" s="334"/>
      <c r="J66" s="165">
        <f>E66*H66</f>
        <v>0</v>
      </c>
    </row>
    <row r="67" spans="1:17" ht="29.25" customHeight="1" x14ac:dyDescent="0.25">
      <c r="A67" s="379" t="s">
        <v>263</v>
      </c>
      <c r="B67" s="337" t="s">
        <v>15</v>
      </c>
      <c r="C67" s="338" t="s">
        <v>73</v>
      </c>
      <c r="D67" s="386" t="s">
        <v>16</v>
      </c>
      <c r="E67" s="350">
        <v>4</v>
      </c>
      <c r="F67" s="363">
        <v>7.75</v>
      </c>
      <c r="G67" s="334"/>
      <c r="H67" s="334">
        <v>0</v>
      </c>
      <c r="I67" s="334"/>
      <c r="J67" s="165">
        <f t="shared" ref="J67:J69" si="3">E67*H67</f>
        <v>0</v>
      </c>
    </row>
    <row r="68" spans="1:17" ht="29.25" customHeight="1" x14ac:dyDescent="0.25">
      <c r="A68" s="379" t="s">
        <v>264</v>
      </c>
      <c r="B68" s="337" t="s">
        <v>15</v>
      </c>
      <c r="C68" s="338" t="s">
        <v>207</v>
      </c>
      <c r="D68" s="386" t="s">
        <v>16</v>
      </c>
      <c r="E68" s="350">
        <v>10</v>
      </c>
      <c r="F68" s="363">
        <v>19.399999999999999</v>
      </c>
      <c r="G68" s="334"/>
      <c r="H68" s="334">
        <v>0</v>
      </c>
      <c r="I68" s="334"/>
      <c r="J68" s="165">
        <f>E68*H68</f>
        <v>0</v>
      </c>
    </row>
    <row r="69" spans="1:17" ht="29.25" customHeight="1" x14ac:dyDescent="0.25">
      <c r="A69" s="379" t="s">
        <v>265</v>
      </c>
      <c r="B69" s="337" t="s">
        <v>15</v>
      </c>
      <c r="C69" s="338" t="s">
        <v>156</v>
      </c>
      <c r="D69" s="386" t="s">
        <v>16</v>
      </c>
      <c r="E69" s="350">
        <v>16</v>
      </c>
      <c r="F69" s="363">
        <v>37.21</v>
      </c>
      <c r="G69" s="334"/>
      <c r="H69" s="334">
        <v>0</v>
      </c>
      <c r="I69" s="334"/>
      <c r="J69" s="165">
        <f t="shared" si="3"/>
        <v>0</v>
      </c>
    </row>
    <row r="70" spans="1:17" ht="29.25" customHeight="1" x14ac:dyDescent="0.25">
      <c r="A70" s="381" t="s">
        <v>266</v>
      </c>
      <c r="B70" s="335" t="s">
        <v>17</v>
      </c>
      <c r="C70" s="339" t="s">
        <v>109</v>
      </c>
      <c r="D70" s="387" t="s">
        <v>16</v>
      </c>
      <c r="E70" s="351">
        <f>1.1*16</f>
        <v>17.600000000000001</v>
      </c>
      <c r="F70" s="367">
        <f>F69*1.1</f>
        <v>40.931000000000004</v>
      </c>
      <c r="G70" s="333">
        <v>0</v>
      </c>
      <c r="H70" s="333"/>
      <c r="I70" s="333">
        <f>E70*G70</f>
        <v>0</v>
      </c>
      <c r="J70" s="166"/>
    </row>
    <row r="71" spans="1:17" ht="29.25" customHeight="1" x14ac:dyDescent="0.25">
      <c r="A71" s="379" t="s">
        <v>267</v>
      </c>
      <c r="B71" s="337" t="s">
        <v>15</v>
      </c>
      <c r="C71" s="338" t="s">
        <v>154</v>
      </c>
      <c r="D71" s="386" t="s">
        <v>16</v>
      </c>
      <c r="E71" s="350">
        <v>111.6</v>
      </c>
      <c r="F71" s="363">
        <v>213.31</v>
      </c>
      <c r="G71" s="334"/>
      <c r="H71" s="334">
        <v>0</v>
      </c>
      <c r="I71" s="334"/>
      <c r="J71" s="165">
        <f>E71*H71</f>
        <v>0</v>
      </c>
    </row>
    <row r="72" spans="1:17" ht="29.25" customHeight="1" x14ac:dyDescent="0.25">
      <c r="A72" s="379" t="s">
        <v>268</v>
      </c>
      <c r="B72" s="337" t="s">
        <v>15</v>
      </c>
      <c r="C72" s="338" t="s">
        <v>18</v>
      </c>
      <c r="D72" s="386" t="s">
        <v>16</v>
      </c>
      <c r="E72" s="350">
        <v>127.6</v>
      </c>
      <c r="F72" s="363">
        <f>F71+F69</f>
        <v>250.52</v>
      </c>
      <c r="G72" s="334"/>
      <c r="H72" s="334">
        <v>0</v>
      </c>
      <c r="I72" s="334"/>
      <c r="J72" s="165">
        <f>E72*H72</f>
        <v>0</v>
      </c>
    </row>
    <row r="73" spans="1:17" ht="29.25" customHeight="1" x14ac:dyDescent="0.25">
      <c r="A73" s="379" t="s">
        <v>269</v>
      </c>
      <c r="B73" s="337" t="s">
        <v>15</v>
      </c>
      <c r="C73" s="338" t="s">
        <v>74</v>
      </c>
      <c r="D73" s="386" t="s">
        <v>16</v>
      </c>
      <c r="E73" s="350">
        <v>6.4</v>
      </c>
      <c r="F73" s="363">
        <v>6.5</v>
      </c>
      <c r="G73" s="334"/>
      <c r="H73" s="334">
        <v>0</v>
      </c>
      <c r="I73" s="334"/>
      <c r="J73" s="165">
        <f>E73*H73</f>
        <v>0</v>
      </c>
    </row>
    <row r="74" spans="1:17" ht="29.25" customHeight="1" x14ac:dyDescent="0.25">
      <c r="A74" s="381" t="s">
        <v>270</v>
      </c>
      <c r="B74" s="335" t="s">
        <v>17</v>
      </c>
      <c r="C74" s="339" t="s">
        <v>109</v>
      </c>
      <c r="D74" s="387" t="s">
        <v>16</v>
      </c>
      <c r="E74" s="351">
        <f>1.1*E73</f>
        <v>7.0400000000000009</v>
      </c>
      <c r="F74" s="367">
        <f>F73*1.1</f>
        <v>7.15</v>
      </c>
      <c r="G74" s="333">
        <v>0</v>
      </c>
      <c r="H74" s="333"/>
      <c r="I74" s="333">
        <f>E74*G74</f>
        <v>0</v>
      </c>
      <c r="J74" s="166"/>
    </row>
    <row r="75" spans="1:17" x14ac:dyDescent="0.25">
      <c r="A75" s="379" t="s">
        <v>271</v>
      </c>
      <c r="B75" s="331" t="s">
        <v>15</v>
      </c>
      <c r="C75" s="340" t="s">
        <v>198</v>
      </c>
      <c r="D75" s="380" t="s">
        <v>60</v>
      </c>
      <c r="E75" s="350"/>
      <c r="F75" s="359">
        <f>(F66+F67+F68-F71)*1.8</f>
        <v>83.159999999999982</v>
      </c>
      <c r="G75" s="333"/>
      <c r="H75" s="334">
        <v>0</v>
      </c>
      <c r="I75" s="333"/>
      <c r="J75" s="165">
        <f>E75*H75</f>
        <v>0</v>
      </c>
    </row>
    <row r="76" spans="1:17" ht="29.25" customHeight="1" x14ac:dyDescent="0.25">
      <c r="A76" s="379" t="s">
        <v>272</v>
      </c>
      <c r="B76" s="337" t="s">
        <v>15</v>
      </c>
      <c r="C76" s="338" t="s">
        <v>208</v>
      </c>
      <c r="D76" s="386" t="s">
        <v>25</v>
      </c>
      <c r="E76" s="350">
        <v>32</v>
      </c>
      <c r="F76" s="363">
        <v>32</v>
      </c>
      <c r="G76" s="334"/>
      <c r="H76" s="334">
        <v>0</v>
      </c>
      <c r="I76" s="334"/>
      <c r="J76" s="165">
        <f>E76*H76</f>
        <v>0</v>
      </c>
    </row>
    <row r="77" spans="1:17" ht="29.25" customHeight="1" x14ac:dyDescent="0.25">
      <c r="A77" s="381" t="s">
        <v>273</v>
      </c>
      <c r="B77" s="335" t="s">
        <v>17</v>
      </c>
      <c r="C77" s="339" t="s">
        <v>206</v>
      </c>
      <c r="D77" s="387" t="s">
        <v>36</v>
      </c>
      <c r="E77" s="351">
        <v>24</v>
      </c>
      <c r="F77" s="367">
        <v>24</v>
      </c>
      <c r="G77" s="333">
        <v>0</v>
      </c>
      <c r="H77" s="333"/>
      <c r="I77" s="333">
        <f>E77*G77</f>
        <v>0</v>
      </c>
      <c r="J77" s="166"/>
      <c r="Q77" s="3">
        <v>2</v>
      </c>
    </row>
    <row r="78" spans="1:17" ht="54" customHeight="1" x14ac:dyDescent="0.25">
      <c r="A78" s="381" t="s">
        <v>274</v>
      </c>
      <c r="B78" s="335" t="s">
        <v>17</v>
      </c>
      <c r="C78" s="339" t="s">
        <v>205</v>
      </c>
      <c r="D78" s="387" t="s">
        <v>25</v>
      </c>
      <c r="E78" s="351">
        <v>32.799999999999997</v>
      </c>
      <c r="F78" s="367">
        <f>F76*1.025</f>
        <v>32.799999999999997</v>
      </c>
      <c r="G78" s="333">
        <v>0</v>
      </c>
      <c r="H78" s="333"/>
      <c r="I78" s="333">
        <f>E78*G78</f>
        <v>0</v>
      </c>
      <c r="J78" s="166"/>
    </row>
    <row r="79" spans="1:17" ht="29.25" customHeight="1" x14ac:dyDescent="0.25">
      <c r="A79" s="379" t="s">
        <v>275</v>
      </c>
      <c r="B79" s="337" t="s">
        <v>15</v>
      </c>
      <c r="C79" s="338" t="s">
        <v>53</v>
      </c>
      <c r="D79" s="386" t="s">
        <v>36</v>
      </c>
      <c r="E79" s="350">
        <v>2</v>
      </c>
      <c r="F79" s="363">
        <v>1</v>
      </c>
      <c r="G79" s="334"/>
      <c r="H79" s="334">
        <v>0</v>
      </c>
      <c r="I79" s="334"/>
      <c r="J79" s="165">
        <f>E79*H79</f>
        <v>0</v>
      </c>
    </row>
    <row r="80" spans="1:17" ht="29.25" customHeight="1" x14ac:dyDescent="0.25">
      <c r="A80" s="379" t="s">
        <v>276</v>
      </c>
      <c r="B80" s="337" t="s">
        <v>15</v>
      </c>
      <c r="C80" s="338" t="s">
        <v>128</v>
      </c>
      <c r="D80" s="386" t="s">
        <v>159</v>
      </c>
      <c r="E80" s="350">
        <v>1</v>
      </c>
      <c r="F80" s="363">
        <v>1</v>
      </c>
      <c r="G80" s="334"/>
      <c r="H80" s="334">
        <v>0</v>
      </c>
      <c r="I80" s="334"/>
      <c r="J80" s="165">
        <f>E80*H80</f>
        <v>0</v>
      </c>
    </row>
    <row r="81" spans="1:10" ht="29.25" customHeight="1" x14ac:dyDescent="0.25">
      <c r="A81" s="379" t="s">
        <v>277</v>
      </c>
      <c r="B81" s="337" t="s">
        <v>15</v>
      </c>
      <c r="C81" s="338" t="s">
        <v>190</v>
      </c>
      <c r="D81" s="386" t="s">
        <v>25</v>
      </c>
      <c r="E81" s="350">
        <v>32</v>
      </c>
      <c r="F81" s="363">
        <v>32</v>
      </c>
      <c r="G81" s="334"/>
      <c r="H81" s="334">
        <v>0</v>
      </c>
      <c r="I81" s="334"/>
      <c r="J81" s="165">
        <f>E81*H81</f>
        <v>0</v>
      </c>
    </row>
    <row r="82" spans="1:10" ht="29.25" customHeight="1" x14ac:dyDescent="0.25">
      <c r="A82" s="379" t="s">
        <v>277</v>
      </c>
      <c r="B82" s="337" t="s">
        <v>15</v>
      </c>
      <c r="C82" s="338" t="s">
        <v>160</v>
      </c>
      <c r="D82" s="386" t="s">
        <v>25</v>
      </c>
      <c r="E82" s="350">
        <v>32</v>
      </c>
      <c r="F82" s="363">
        <v>32</v>
      </c>
      <c r="G82" s="334"/>
      <c r="H82" s="334">
        <v>0</v>
      </c>
      <c r="I82" s="334"/>
      <c r="J82" s="165">
        <f>E82*H82</f>
        <v>0</v>
      </c>
    </row>
    <row r="83" spans="1:10" s="93" customFormat="1" x14ac:dyDescent="0.25">
      <c r="A83" s="379"/>
      <c r="B83" s="337"/>
      <c r="C83" s="332" t="s">
        <v>19</v>
      </c>
      <c r="D83" s="380"/>
      <c r="E83" s="350"/>
      <c r="F83" s="363"/>
      <c r="G83" s="333"/>
      <c r="H83" s="334"/>
      <c r="I83" s="334">
        <f>SUM(I66:I82)</f>
        <v>0</v>
      </c>
      <c r="J83" s="165">
        <f>SUM(J65:J82)</f>
        <v>0</v>
      </c>
    </row>
    <row r="84" spans="1:10" s="93" customFormat="1" ht="15.75" thickBot="1" x14ac:dyDescent="0.3">
      <c r="A84" s="420"/>
      <c r="B84" s="421"/>
      <c r="C84" s="422" t="s">
        <v>278</v>
      </c>
      <c r="D84" s="423"/>
      <c r="E84" s="403"/>
      <c r="F84" s="404"/>
      <c r="G84" s="370"/>
      <c r="H84" s="424"/>
      <c r="I84" s="424"/>
      <c r="J84" s="372">
        <f>I83+J83</f>
        <v>0</v>
      </c>
    </row>
    <row r="85" spans="1:10" x14ac:dyDescent="0.25">
      <c r="A85" s="406"/>
      <c r="B85" s="407"/>
      <c r="C85" s="408" t="s">
        <v>65</v>
      </c>
      <c r="D85" s="409"/>
      <c r="E85" s="410"/>
      <c r="F85" s="411"/>
      <c r="G85" s="412"/>
      <c r="H85" s="412"/>
      <c r="I85" s="413"/>
      <c r="J85" s="167">
        <f>J64+J84</f>
        <v>0</v>
      </c>
    </row>
    <row r="86" spans="1:10" ht="15.75" thickBot="1" x14ac:dyDescent="0.3">
      <c r="A86" s="388"/>
      <c r="B86" s="389"/>
      <c r="C86" s="390" t="s">
        <v>66</v>
      </c>
      <c r="D86" s="391"/>
      <c r="E86" s="357"/>
      <c r="F86" s="369"/>
      <c r="G86" s="370"/>
      <c r="H86" s="370"/>
      <c r="I86" s="371"/>
      <c r="J86" s="372">
        <f>J85/1.2*20%</f>
        <v>0</v>
      </c>
    </row>
    <row r="88" spans="1:10" s="105" customFormat="1" x14ac:dyDescent="0.25">
      <c r="A88" s="1"/>
      <c r="B88" s="128"/>
      <c r="C88" s="1"/>
      <c r="D88" s="1"/>
      <c r="E88" s="1"/>
      <c r="F88" s="1"/>
      <c r="G88" s="2"/>
      <c r="H88" s="2"/>
      <c r="I88" s="117"/>
      <c r="J88" s="104"/>
    </row>
    <row r="89" spans="1:10" x14ac:dyDescent="0.25">
      <c r="A89" s="3"/>
      <c r="B89" s="143"/>
      <c r="C89" s="3"/>
      <c r="D89" s="3"/>
      <c r="E89" s="3"/>
      <c r="F89" s="3"/>
      <c r="G89" s="3"/>
      <c r="H89" s="3"/>
      <c r="I89" s="3"/>
      <c r="J89" s="3"/>
    </row>
    <row r="90" spans="1:10" x14ac:dyDescent="0.25">
      <c r="A90" s="3"/>
      <c r="B90" s="143"/>
      <c r="C90" s="3"/>
      <c r="D90" s="3"/>
      <c r="E90" s="3"/>
      <c r="F90" s="3"/>
      <c r="G90" s="3"/>
      <c r="H90" s="3"/>
      <c r="I90" s="3"/>
      <c r="J90" s="106"/>
    </row>
  </sheetData>
  <autoFilter ref="A11:J11" xr:uid="{2CEBBF08-7017-4F0E-BCF6-C10BDC34B791}"/>
  <mergeCells count="12">
    <mergeCell ref="I9:J9"/>
    <mergeCell ref="I1:J1"/>
    <mergeCell ref="G2:J2"/>
    <mergeCell ref="A5:J5"/>
    <mergeCell ref="A6:J6"/>
    <mergeCell ref="A7:J7"/>
    <mergeCell ref="A9:A10"/>
    <mergeCell ref="C9:C10"/>
    <mergeCell ref="D9:D10"/>
    <mergeCell ref="E9:E10"/>
    <mergeCell ref="G9:H9"/>
    <mergeCell ref="F9:F10"/>
  </mergeCells>
  <phoneticPr fontId="16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1298C-B8D6-4314-B835-A878F265C9C8}">
  <dimension ref="A1:Q121"/>
  <sheetViews>
    <sheetView topLeftCell="A10" workbookViewId="0">
      <selection activeCell="J43" sqref="J43"/>
    </sheetView>
  </sheetViews>
  <sheetFormatPr defaultColWidth="9.140625" defaultRowHeight="15" x14ac:dyDescent="0.25"/>
  <cols>
    <col min="1" max="1" width="6" style="1" customWidth="1"/>
    <col min="2" max="2" width="17.7109375" style="128" customWidth="1"/>
    <col min="3" max="3" width="65.140625" style="1" customWidth="1"/>
    <col min="4" max="4" width="5.140625" style="1" customWidth="1"/>
    <col min="5" max="6" width="9.140625" style="1"/>
    <col min="7" max="10" width="11.7109375" style="2" customWidth="1"/>
    <col min="11" max="11" width="9.140625" style="3"/>
    <col min="12" max="12" width="14.85546875" style="3" customWidth="1"/>
    <col min="13" max="14" width="11.42578125" style="3" bestFit="1" customWidth="1"/>
    <col min="15" max="16384" width="9.140625" style="3"/>
  </cols>
  <sheetData>
    <row r="1" spans="1:10" x14ac:dyDescent="0.25">
      <c r="I1" s="730" t="s">
        <v>0</v>
      </c>
      <c r="J1" s="730"/>
    </row>
    <row r="2" spans="1:10" ht="15" customHeight="1" x14ac:dyDescent="0.25">
      <c r="B2" s="128" t="s">
        <v>1</v>
      </c>
      <c r="C2" s="4" t="s">
        <v>2</v>
      </c>
      <c r="G2" s="730"/>
      <c r="H2" s="730"/>
      <c r="I2" s="730"/>
      <c r="J2" s="730"/>
    </row>
    <row r="3" spans="1:10" ht="15" customHeight="1" x14ac:dyDescent="0.25">
      <c r="G3" s="107"/>
      <c r="H3" s="107"/>
      <c r="I3" s="107"/>
      <c r="J3" s="107"/>
    </row>
    <row r="4" spans="1:10" ht="15" customHeight="1" x14ac:dyDescent="0.25">
      <c r="G4" s="107"/>
      <c r="H4" s="107"/>
      <c r="I4" s="107"/>
      <c r="J4" s="107"/>
    </row>
    <row r="5" spans="1:10" ht="15" customHeight="1" x14ac:dyDescent="0.25">
      <c r="A5" s="705" t="s">
        <v>181</v>
      </c>
      <c r="B5" s="705"/>
      <c r="C5" s="705"/>
      <c r="D5" s="705"/>
      <c r="E5" s="705"/>
      <c r="F5" s="705"/>
      <c r="G5" s="705"/>
      <c r="H5" s="705"/>
      <c r="I5" s="705"/>
      <c r="J5" s="705"/>
    </row>
    <row r="6" spans="1:10" ht="22.5" customHeight="1" x14ac:dyDescent="0.25">
      <c r="A6" s="706" t="s">
        <v>120</v>
      </c>
      <c r="B6" s="706"/>
      <c r="C6" s="706"/>
      <c r="D6" s="706"/>
      <c r="E6" s="706"/>
      <c r="F6" s="706"/>
      <c r="G6" s="706"/>
      <c r="H6" s="706"/>
      <c r="I6" s="706"/>
      <c r="J6" s="706"/>
    </row>
    <row r="7" spans="1:10" ht="33" customHeight="1" x14ac:dyDescent="0.25">
      <c r="A7" s="731" t="s">
        <v>67</v>
      </c>
      <c r="B7" s="731"/>
      <c r="C7" s="731"/>
      <c r="D7" s="731"/>
      <c r="E7" s="731"/>
      <c r="F7" s="731"/>
      <c r="G7" s="731"/>
      <c r="H7" s="731"/>
      <c r="I7" s="731"/>
      <c r="J7" s="731"/>
    </row>
    <row r="8" spans="1:10" s="5" customFormat="1" ht="15.75" thickBot="1" x14ac:dyDescent="0.3">
      <c r="A8" s="1"/>
      <c r="B8" s="128"/>
      <c r="C8" s="4"/>
      <c r="D8" s="1"/>
      <c r="E8" s="1"/>
      <c r="F8" s="1"/>
      <c r="G8" s="2"/>
      <c r="H8" s="2"/>
      <c r="I8" s="2"/>
      <c r="J8" s="2"/>
    </row>
    <row r="9" spans="1:10" s="5" customFormat="1" ht="15" customHeight="1" x14ac:dyDescent="0.25">
      <c r="A9" s="702" t="s">
        <v>4</v>
      </c>
      <c r="B9" s="129" t="s">
        <v>5</v>
      </c>
      <c r="C9" s="702" t="s">
        <v>6</v>
      </c>
      <c r="D9" s="702" t="s">
        <v>7</v>
      </c>
      <c r="E9" s="737" t="s">
        <v>8</v>
      </c>
      <c r="F9" s="732" t="s">
        <v>229</v>
      </c>
      <c r="G9" s="728" t="s">
        <v>9</v>
      </c>
      <c r="H9" s="729"/>
      <c r="I9" s="728" t="s">
        <v>10</v>
      </c>
      <c r="J9" s="729"/>
    </row>
    <row r="10" spans="1:10" ht="29.25" thickBot="1" x14ac:dyDescent="0.3">
      <c r="A10" s="703"/>
      <c r="B10" s="130" t="s">
        <v>11</v>
      </c>
      <c r="C10" s="704"/>
      <c r="D10" s="704"/>
      <c r="E10" s="738"/>
      <c r="F10" s="733"/>
      <c r="G10" s="6" t="s">
        <v>12</v>
      </c>
      <c r="H10" s="7" t="s">
        <v>13</v>
      </c>
      <c r="I10" s="6" t="s">
        <v>12</v>
      </c>
      <c r="J10" s="7" t="s">
        <v>13</v>
      </c>
    </row>
    <row r="11" spans="1:10" ht="15.75" thickBot="1" x14ac:dyDescent="0.3">
      <c r="A11" s="8"/>
      <c r="B11" s="131"/>
      <c r="C11" s="8"/>
      <c r="D11" s="10"/>
      <c r="E11" s="10"/>
      <c r="F11" s="222"/>
      <c r="G11" s="108"/>
      <c r="H11" s="108"/>
      <c r="I11" s="108"/>
      <c r="J11" s="11"/>
    </row>
    <row r="12" spans="1:10" ht="15.75" thickBot="1" x14ac:dyDescent="0.3">
      <c r="A12" s="210"/>
      <c r="B12" s="211" t="s">
        <v>14</v>
      </c>
      <c r="C12" s="225" t="s">
        <v>228</v>
      </c>
      <c r="D12" s="214"/>
      <c r="E12" s="214"/>
      <c r="F12" s="214"/>
      <c r="G12" s="214"/>
      <c r="H12" s="214"/>
      <c r="I12" s="214"/>
      <c r="J12" s="224"/>
    </row>
    <row r="13" spans="1:10" ht="42.75" x14ac:dyDescent="0.25">
      <c r="A13" s="84" t="s">
        <v>21</v>
      </c>
      <c r="B13" s="132" t="s">
        <v>15</v>
      </c>
      <c r="C13" s="113" t="s">
        <v>71</v>
      </c>
      <c r="D13" s="114" t="s">
        <v>16</v>
      </c>
      <c r="E13" s="230">
        <v>904.29</v>
      </c>
      <c r="F13" s="228">
        <v>1098.53</v>
      </c>
      <c r="G13" s="227"/>
      <c r="H13" s="115">
        <v>0</v>
      </c>
      <c r="I13" s="34"/>
      <c r="J13" s="111">
        <f>E13*H13</f>
        <v>0</v>
      </c>
    </row>
    <row r="14" spans="1:10" ht="28.5" x14ac:dyDescent="0.25">
      <c r="A14" s="14">
        <v>2</v>
      </c>
      <c r="B14" s="133" t="s">
        <v>15</v>
      </c>
      <c r="C14" s="16" t="s">
        <v>72</v>
      </c>
      <c r="D14" s="15" t="s">
        <v>16</v>
      </c>
      <c r="E14" s="231">
        <v>44.8</v>
      </c>
      <c r="F14" s="229">
        <f>1152.95-F13</f>
        <v>54.420000000000073</v>
      </c>
      <c r="G14" s="17"/>
      <c r="H14" s="18">
        <v>0</v>
      </c>
      <c r="I14" s="51"/>
      <c r="J14" s="59">
        <f>E14*H14</f>
        <v>0</v>
      </c>
    </row>
    <row r="15" spans="1:10" ht="28.5" x14ac:dyDescent="0.25">
      <c r="A15" s="44" t="s">
        <v>24</v>
      </c>
      <c r="B15" s="133" t="s">
        <v>15</v>
      </c>
      <c r="C15" s="16" t="s">
        <v>107</v>
      </c>
      <c r="D15" s="15" t="s">
        <v>16</v>
      </c>
      <c r="E15" s="231">
        <v>112.3</v>
      </c>
      <c r="F15" s="229">
        <v>162.86000000000001</v>
      </c>
      <c r="G15" s="91"/>
      <c r="H15" s="18">
        <v>0</v>
      </c>
      <c r="I15" s="92"/>
      <c r="J15" s="20">
        <f>E15*H15</f>
        <v>0</v>
      </c>
    </row>
    <row r="16" spans="1:10" ht="27" customHeight="1" x14ac:dyDescent="0.25">
      <c r="A16" s="77" t="s">
        <v>26</v>
      </c>
      <c r="B16" s="134" t="s">
        <v>17</v>
      </c>
      <c r="C16" s="127" t="s">
        <v>109</v>
      </c>
      <c r="D16" s="48" t="s">
        <v>16</v>
      </c>
      <c r="E16" s="232">
        <f>1.1*E15</f>
        <v>123.53</v>
      </c>
      <c r="F16" s="257">
        <f>F15*1.1</f>
        <v>179.14600000000004</v>
      </c>
      <c r="G16" s="49">
        <v>0</v>
      </c>
      <c r="H16" s="50"/>
      <c r="I16" s="51">
        <f>E16*G16</f>
        <v>0</v>
      </c>
      <c r="J16" s="52"/>
    </row>
    <row r="17" spans="1:10" ht="39.75" customHeight="1" x14ac:dyDescent="0.25">
      <c r="A17" s="14">
        <v>4</v>
      </c>
      <c r="B17" s="133" t="s">
        <v>15</v>
      </c>
      <c r="C17" s="16" t="s">
        <v>154</v>
      </c>
      <c r="D17" s="15" t="s">
        <v>16</v>
      </c>
      <c r="E17" s="231">
        <v>788.3</v>
      </c>
      <c r="F17" s="277">
        <f>F13+F14-F15-F23-5.11</f>
        <v>952.33</v>
      </c>
      <c r="G17" s="17"/>
      <c r="H17" s="18">
        <v>0</v>
      </c>
      <c r="I17" s="19"/>
      <c r="J17" s="20">
        <f>E17*H17</f>
        <v>0</v>
      </c>
    </row>
    <row r="18" spans="1:10" ht="28.5" x14ac:dyDescent="0.25">
      <c r="A18" s="24">
        <v>5</v>
      </c>
      <c r="B18" s="135" t="s">
        <v>15</v>
      </c>
      <c r="C18" s="4" t="s">
        <v>18</v>
      </c>
      <c r="D18" s="170" t="s">
        <v>16</v>
      </c>
      <c r="E18" s="233">
        <v>900</v>
      </c>
      <c r="F18" s="279">
        <f>F15+F17</f>
        <v>1115.19</v>
      </c>
      <c r="G18" s="25"/>
      <c r="H18" s="26">
        <v>0</v>
      </c>
      <c r="I18" s="27"/>
      <c r="J18" s="28">
        <f>E18*H18</f>
        <v>0</v>
      </c>
    </row>
    <row r="19" spans="1:10" ht="15.75" thickBot="1" x14ac:dyDescent="0.3">
      <c r="A19" s="280">
        <v>6</v>
      </c>
      <c r="B19" s="281" t="s">
        <v>15</v>
      </c>
      <c r="C19" s="169" t="s">
        <v>198</v>
      </c>
      <c r="D19" s="168" t="s">
        <v>60</v>
      </c>
      <c r="E19" s="284"/>
      <c r="F19" s="282">
        <f>F13+F14-F17</f>
        <v>200.62</v>
      </c>
      <c r="G19" s="87"/>
      <c r="H19" s="88">
        <v>0</v>
      </c>
      <c r="I19" s="89"/>
      <c r="J19" s="283">
        <f>E19*H19</f>
        <v>0</v>
      </c>
    </row>
    <row r="20" spans="1:10" x14ac:dyDescent="0.25">
      <c r="A20" s="29"/>
      <c r="B20" s="136"/>
      <c r="C20" s="31" t="s">
        <v>19</v>
      </c>
      <c r="D20" s="30"/>
      <c r="E20" s="230"/>
      <c r="F20" s="228"/>
      <c r="G20" s="32"/>
      <c r="H20" s="33"/>
      <c r="I20" s="34">
        <f>SUM(I13:I19)</f>
        <v>0</v>
      </c>
      <c r="J20" s="35">
        <f>SUM(J13:J19)</f>
        <v>0</v>
      </c>
    </row>
    <row r="21" spans="1:10" ht="15.75" thickBot="1" x14ac:dyDescent="0.3">
      <c r="A21" s="36"/>
      <c r="B21" s="130"/>
      <c r="C21" s="37" t="s">
        <v>261</v>
      </c>
      <c r="D21" s="110"/>
      <c r="E21" s="234"/>
      <c r="F21" s="267"/>
      <c r="G21" s="38"/>
      <c r="H21" s="39"/>
      <c r="I21" s="40"/>
      <c r="J21" s="41">
        <f>I20+J20</f>
        <v>0</v>
      </c>
    </row>
    <row r="22" spans="1:10" ht="15.75" thickBot="1" x14ac:dyDescent="0.3">
      <c r="A22" s="212"/>
      <c r="B22" s="213" t="s">
        <v>20</v>
      </c>
      <c r="C22" s="226" t="s">
        <v>227</v>
      </c>
      <c r="D22" s="215"/>
      <c r="E22" s="215"/>
      <c r="F22" s="223"/>
      <c r="G22" s="216"/>
      <c r="H22" s="217"/>
      <c r="I22" s="218"/>
      <c r="J22" s="219"/>
    </row>
    <row r="23" spans="1:10" x14ac:dyDescent="0.25">
      <c r="A23" s="44" t="s">
        <v>43</v>
      </c>
      <c r="B23" s="133" t="s">
        <v>15</v>
      </c>
      <c r="C23" s="16" t="s">
        <v>74</v>
      </c>
      <c r="D23" s="15" t="s">
        <v>16</v>
      </c>
      <c r="E23" s="240">
        <v>31</v>
      </c>
      <c r="F23" s="254">
        <v>32.65</v>
      </c>
      <c r="G23" s="17"/>
      <c r="H23" s="18">
        <v>0</v>
      </c>
      <c r="I23" s="19"/>
      <c r="J23" s="20">
        <f>E23*H23</f>
        <v>0</v>
      </c>
    </row>
    <row r="24" spans="1:10" ht="30" x14ac:dyDescent="0.25">
      <c r="A24" s="45" t="s">
        <v>45</v>
      </c>
      <c r="B24" s="65" t="s">
        <v>17</v>
      </c>
      <c r="C24" s="127" t="s">
        <v>109</v>
      </c>
      <c r="D24" s="48" t="s">
        <v>16</v>
      </c>
      <c r="E24" s="271">
        <f>1.1*E23</f>
        <v>34.1</v>
      </c>
      <c r="F24" s="255">
        <f>F23*1.01</f>
        <v>32.976500000000001</v>
      </c>
      <c r="G24" s="49">
        <v>0</v>
      </c>
      <c r="H24" s="50"/>
      <c r="I24" s="51">
        <f>E24*G24</f>
        <v>0</v>
      </c>
      <c r="J24" s="52"/>
    </row>
    <row r="25" spans="1:10" ht="28.5" x14ac:dyDescent="0.25">
      <c r="A25" s="53" t="s">
        <v>52</v>
      </c>
      <c r="B25" s="126" t="s">
        <v>15</v>
      </c>
      <c r="C25" s="55" t="s">
        <v>121</v>
      </c>
      <c r="D25" s="62" t="s">
        <v>25</v>
      </c>
      <c r="E25" s="271">
        <v>154.1</v>
      </c>
      <c r="F25" s="255">
        <v>154.1</v>
      </c>
      <c r="G25" s="56"/>
      <c r="H25" s="57">
        <v>0</v>
      </c>
      <c r="I25" s="58"/>
      <c r="J25" s="59">
        <f>E25*H25</f>
        <v>0</v>
      </c>
    </row>
    <row r="26" spans="1:10" ht="45" x14ac:dyDescent="0.25">
      <c r="A26" s="45" t="s">
        <v>80</v>
      </c>
      <c r="B26" s="65" t="s">
        <v>17</v>
      </c>
      <c r="C26" s="47" t="s">
        <v>182</v>
      </c>
      <c r="D26" s="48" t="s">
        <v>25</v>
      </c>
      <c r="E26" s="272">
        <v>158</v>
      </c>
      <c r="F26" s="256">
        <v>158</v>
      </c>
      <c r="G26" s="49">
        <v>0</v>
      </c>
      <c r="H26" s="50"/>
      <c r="I26" s="51">
        <f>E26*G26</f>
        <v>0</v>
      </c>
      <c r="J26" s="52"/>
    </row>
    <row r="27" spans="1:10" x14ac:dyDescent="0.25">
      <c r="A27" s="45" t="s">
        <v>42</v>
      </c>
      <c r="B27" s="65" t="s">
        <v>17</v>
      </c>
      <c r="C27" s="47" t="s">
        <v>123</v>
      </c>
      <c r="D27" s="48" t="s">
        <v>36</v>
      </c>
      <c r="E27" s="272">
        <v>125</v>
      </c>
      <c r="F27" s="256">
        <v>125</v>
      </c>
      <c r="G27" s="49">
        <v>0</v>
      </c>
      <c r="H27" s="50"/>
      <c r="I27" s="51">
        <f>E27*G27</f>
        <v>0</v>
      </c>
      <c r="J27" s="52"/>
    </row>
    <row r="28" spans="1:10" x14ac:dyDescent="0.25">
      <c r="A28" s="45" t="s">
        <v>144</v>
      </c>
      <c r="B28" s="65" t="s">
        <v>17</v>
      </c>
      <c r="C28" s="47" t="s">
        <v>122</v>
      </c>
      <c r="D28" s="60" t="s">
        <v>36</v>
      </c>
      <c r="E28" s="273">
        <v>62</v>
      </c>
      <c r="F28" s="257">
        <v>62</v>
      </c>
      <c r="G28" s="49">
        <v>0</v>
      </c>
      <c r="H28" s="50"/>
      <c r="I28" s="51">
        <f>E28*G28</f>
        <v>0</v>
      </c>
      <c r="J28" s="52"/>
    </row>
    <row r="29" spans="1:10" ht="28.5" x14ac:dyDescent="0.25">
      <c r="A29" s="53" t="s">
        <v>28</v>
      </c>
      <c r="B29" s="133" t="s">
        <v>15</v>
      </c>
      <c r="C29" s="61" t="s">
        <v>124</v>
      </c>
      <c r="D29" s="62" t="s">
        <v>25</v>
      </c>
      <c r="E29" s="274">
        <v>3</v>
      </c>
      <c r="F29" s="258">
        <v>3</v>
      </c>
      <c r="G29" s="49"/>
      <c r="H29" s="57">
        <v>0</v>
      </c>
      <c r="I29" s="51"/>
      <c r="J29" s="59">
        <f>E29*H29</f>
        <v>0</v>
      </c>
    </row>
    <row r="30" spans="1:10" ht="28.5" customHeight="1" x14ac:dyDescent="0.25">
      <c r="A30" s="45" t="s">
        <v>30</v>
      </c>
      <c r="B30" s="65" t="s">
        <v>17</v>
      </c>
      <c r="C30" s="47" t="s">
        <v>125</v>
      </c>
      <c r="D30" s="48" t="s">
        <v>25</v>
      </c>
      <c r="E30" s="275">
        <v>3.0750000000000002</v>
      </c>
      <c r="F30" s="259">
        <v>3.0750000000000002</v>
      </c>
      <c r="G30" s="49">
        <v>0</v>
      </c>
      <c r="H30" s="57"/>
      <c r="I30" s="51">
        <f>E30*G30</f>
        <v>0</v>
      </c>
      <c r="J30" s="59"/>
    </row>
    <row r="31" spans="1:10" hidden="1" x14ac:dyDescent="0.25">
      <c r="A31" s="53" t="s">
        <v>28</v>
      </c>
      <c r="B31" s="133" t="s">
        <v>15</v>
      </c>
      <c r="C31" s="55" t="s">
        <v>29</v>
      </c>
      <c r="D31" s="62" t="s">
        <v>16</v>
      </c>
      <c r="E31" s="274">
        <v>0</v>
      </c>
      <c r="F31" s="258"/>
      <c r="G31" s="56"/>
      <c r="H31" s="57">
        <v>0</v>
      </c>
      <c r="I31" s="58"/>
      <c r="J31" s="59">
        <f>E31*H31</f>
        <v>0</v>
      </c>
    </row>
    <row r="32" spans="1:10" hidden="1" x14ac:dyDescent="0.25">
      <c r="A32" s="21" t="s">
        <v>30</v>
      </c>
      <c r="B32" s="65" t="s">
        <v>17</v>
      </c>
      <c r="C32" s="63" t="s">
        <v>31</v>
      </c>
      <c r="D32" s="48" t="s">
        <v>16</v>
      </c>
      <c r="E32" s="273">
        <f>1.1*E31</f>
        <v>0</v>
      </c>
      <c r="F32" s="257"/>
      <c r="G32" s="49">
        <v>920.25</v>
      </c>
      <c r="H32" s="50"/>
      <c r="I32" s="51">
        <f>E32*G32</f>
        <v>0</v>
      </c>
      <c r="J32" s="52"/>
    </row>
    <row r="33" spans="1:16" hidden="1" x14ac:dyDescent="0.25">
      <c r="A33" s="44" t="s">
        <v>32</v>
      </c>
      <c r="B33" s="133" t="s">
        <v>15</v>
      </c>
      <c r="C33" s="61" t="s">
        <v>33</v>
      </c>
      <c r="D33" s="62" t="s">
        <v>16</v>
      </c>
      <c r="E33" s="274">
        <v>0</v>
      </c>
      <c r="F33" s="258"/>
      <c r="G33" s="49"/>
      <c r="H33" s="57">
        <v>0</v>
      </c>
      <c r="I33" s="51"/>
      <c r="J33" s="59">
        <f>E33*H33</f>
        <v>0</v>
      </c>
    </row>
    <row r="34" spans="1:16" hidden="1" x14ac:dyDescent="0.25">
      <c r="A34" s="45" t="s">
        <v>34</v>
      </c>
      <c r="B34" s="65" t="s">
        <v>17</v>
      </c>
      <c r="C34" s="64" t="s">
        <v>35</v>
      </c>
      <c r="D34" s="48" t="s">
        <v>16</v>
      </c>
      <c r="E34" s="273">
        <f>E33*1.25</f>
        <v>0</v>
      </c>
      <c r="F34" s="257"/>
      <c r="G34" s="49">
        <v>2208.6</v>
      </c>
      <c r="H34" s="50"/>
      <c r="I34" s="51">
        <f>E34*G34</f>
        <v>0</v>
      </c>
      <c r="J34" s="52"/>
    </row>
    <row r="35" spans="1:16" ht="28.5" x14ac:dyDescent="0.25">
      <c r="A35" s="53" t="s">
        <v>32</v>
      </c>
      <c r="B35" s="133" t="s">
        <v>15</v>
      </c>
      <c r="C35" s="61" t="s">
        <v>126</v>
      </c>
      <c r="D35" s="62" t="s">
        <v>25</v>
      </c>
      <c r="E35" s="274">
        <v>27.5</v>
      </c>
      <c r="F35" s="258">
        <v>27.5</v>
      </c>
      <c r="G35" s="49"/>
      <c r="H35" s="57">
        <v>0</v>
      </c>
      <c r="I35" s="51"/>
      <c r="J35" s="59">
        <f>E35*H35</f>
        <v>0</v>
      </c>
    </row>
    <row r="36" spans="1:16" ht="39.75" customHeight="1" x14ac:dyDescent="0.25">
      <c r="A36" s="45" t="s">
        <v>30</v>
      </c>
      <c r="B36" s="65" t="s">
        <v>17</v>
      </c>
      <c r="C36" s="64" t="s">
        <v>127</v>
      </c>
      <c r="D36" s="48" t="s">
        <v>25</v>
      </c>
      <c r="E36" s="276">
        <v>27.5</v>
      </c>
      <c r="F36" s="260">
        <v>27.5</v>
      </c>
      <c r="G36" s="49">
        <v>0</v>
      </c>
      <c r="H36" s="57"/>
      <c r="I36" s="51">
        <f>E36*G36</f>
        <v>0</v>
      </c>
      <c r="J36" s="59"/>
    </row>
    <row r="37" spans="1:16" s="67" customFormat="1" ht="28.5" x14ac:dyDescent="0.25">
      <c r="A37" s="53" t="s">
        <v>32</v>
      </c>
      <c r="B37" s="126" t="s">
        <v>15</v>
      </c>
      <c r="C37" s="61" t="s">
        <v>128</v>
      </c>
      <c r="D37" s="62" t="s">
        <v>36</v>
      </c>
      <c r="E37" s="274">
        <v>1</v>
      </c>
      <c r="F37" s="258">
        <v>1</v>
      </c>
      <c r="G37" s="56"/>
      <c r="H37" s="57">
        <v>0</v>
      </c>
      <c r="I37" s="58"/>
      <c r="J37" s="59">
        <f>E37*H37</f>
        <v>0</v>
      </c>
      <c r="K37" s="3"/>
      <c r="L37" s="3"/>
      <c r="M37" s="3"/>
      <c r="N37" s="3"/>
      <c r="O37" s="3"/>
      <c r="P37" s="3"/>
    </row>
    <row r="38" spans="1:16" ht="28.5" x14ac:dyDescent="0.25">
      <c r="A38" s="69" t="s">
        <v>37</v>
      </c>
      <c r="B38" s="133" t="s">
        <v>15</v>
      </c>
      <c r="C38" s="70" t="s">
        <v>38</v>
      </c>
      <c r="D38" s="71" t="s">
        <v>16</v>
      </c>
      <c r="E38" s="245">
        <f>11*(1.16*1.16*0.1)</f>
        <v>1.4801599999999999</v>
      </c>
      <c r="F38" s="262">
        <v>1.74</v>
      </c>
      <c r="G38" s="72"/>
      <c r="H38" s="73">
        <v>0</v>
      </c>
      <c r="I38" s="74"/>
      <c r="J38" s="75">
        <f>E38*H38</f>
        <v>0</v>
      </c>
      <c r="L38" s="66"/>
    </row>
    <row r="39" spans="1:16" x14ac:dyDescent="0.25">
      <c r="A39" s="76" t="s">
        <v>39</v>
      </c>
      <c r="B39" s="137" t="s">
        <v>17</v>
      </c>
      <c r="C39" s="47" t="s">
        <v>40</v>
      </c>
      <c r="D39" s="48" t="s">
        <v>41</v>
      </c>
      <c r="E39" s="243">
        <f>E38*1.25</f>
        <v>1.8501999999999998</v>
      </c>
      <c r="F39" s="260">
        <f>F38*1.25</f>
        <v>2.1749999999999998</v>
      </c>
      <c r="G39" s="49">
        <v>0</v>
      </c>
      <c r="H39" s="73"/>
      <c r="I39" s="78">
        <f>E39*G39</f>
        <v>0</v>
      </c>
      <c r="J39" s="75"/>
    </row>
    <row r="40" spans="1:16" hidden="1" x14ac:dyDescent="0.25">
      <c r="A40" s="76"/>
      <c r="B40" s="137"/>
      <c r="C40" s="79"/>
      <c r="D40" s="68"/>
      <c r="E40" s="246"/>
      <c r="F40" s="263"/>
      <c r="G40" s="80"/>
      <c r="H40" s="73"/>
      <c r="I40" s="78"/>
      <c r="J40" s="75"/>
    </row>
    <row r="41" spans="1:16" hidden="1" x14ac:dyDescent="0.25">
      <c r="A41" s="76"/>
      <c r="B41" s="137"/>
      <c r="C41" s="79"/>
      <c r="D41" s="68"/>
      <c r="E41" s="246"/>
      <c r="F41" s="263"/>
      <c r="G41" s="80"/>
      <c r="H41" s="73"/>
      <c r="I41" s="78"/>
      <c r="J41" s="75"/>
    </row>
    <row r="42" spans="1:16" hidden="1" x14ac:dyDescent="0.25">
      <c r="A42" s="76" t="s">
        <v>42</v>
      </c>
      <c r="B42" s="137" t="s">
        <v>17</v>
      </c>
      <c r="C42" s="79"/>
      <c r="D42" s="68"/>
      <c r="E42" s="244"/>
      <c r="F42" s="261"/>
      <c r="G42" s="80"/>
      <c r="H42" s="73"/>
      <c r="I42" s="78"/>
      <c r="J42" s="75"/>
    </row>
    <row r="43" spans="1:16" ht="88.5" customHeight="1" x14ac:dyDescent="0.25">
      <c r="A43" s="69" t="s">
        <v>43</v>
      </c>
      <c r="B43" s="138" t="s">
        <v>15</v>
      </c>
      <c r="C43" s="82" t="s">
        <v>44</v>
      </c>
      <c r="D43" s="71" t="s">
        <v>36</v>
      </c>
      <c r="E43" s="247">
        <v>11</v>
      </c>
      <c r="F43" s="264">
        <v>9</v>
      </c>
      <c r="G43" s="72"/>
      <c r="H43" s="73">
        <v>0</v>
      </c>
      <c r="I43" s="74"/>
      <c r="J43" s="75">
        <f>E43*H43</f>
        <v>0</v>
      </c>
    </row>
    <row r="44" spans="1:16" x14ac:dyDescent="0.25">
      <c r="A44" s="76" t="s">
        <v>45</v>
      </c>
      <c r="B44" s="65" t="s">
        <v>17</v>
      </c>
      <c r="C44" s="79" t="s">
        <v>46</v>
      </c>
      <c r="D44" s="83" t="s">
        <v>36</v>
      </c>
      <c r="E44" s="244">
        <v>30</v>
      </c>
      <c r="F44" s="261">
        <f>12+10</f>
        <v>22</v>
      </c>
      <c r="G44" s="49">
        <v>0</v>
      </c>
      <c r="H44" s="73"/>
      <c r="I44" s="78">
        <f t="shared" ref="I44:I50" si="0">E44*G44</f>
        <v>0</v>
      </c>
      <c r="J44" s="75"/>
    </row>
    <row r="45" spans="1:16" ht="30" x14ac:dyDescent="0.25">
      <c r="A45" s="76" t="s">
        <v>47</v>
      </c>
      <c r="B45" s="65" t="s">
        <v>17</v>
      </c>
      <c r="C45" s="79" t="s">
        <v>131</v>
      </c>
      <c r="D45" s="83" t="s">
        <v>36</v>
      </c>
      <c r="E45" s="244">
        <v>11</v>
      </c>
      <c r="F45" s="261">
        <v>9</v>
      </c>
      <c r="G45" s="49">
        <v>0</v>
      </c>
      <c r="H45" s="73"/>
      <c r="I45" s="78">
        <f t="shared" si="0"/>
        <v>0</v>
      </c>
      <c r="J45" s="75"/>
    </row>
    <row r="46" spans="1:16" ht="30" x14ac:dyDescent="0.25">
      <c r="A46" s="76" t="s">
        <v>48</v>
      </c>
      <c r="B46" s="65" t="s">
        <v>17</v>
      </c>
      <c r="C46" s="79" t="s">
        <v>132</v>
      </c>
      <c r="D46" s="83" t="s">
        <v>36</v>
      </c>
      <c r="E46" s="244">
        <v>12</v>
      </c>
      <c r="F46" s="261">
        <f>4+7</f>
        <v>11</v>
      </c>
      <c r="G46" s="49">
        <v>0</v>
      </c>
      <c r="H46" s="73"/>
      <c r="I46" s="78">
        <f t="shared" si="0"/>
        <v>0</v>
      </c>
      <c r="J46" s="75"/>
    </row>
    <row r="47" spans="1:16" ht="30" x14ac:dyDescent="0.25">
      <c r="A47" s="76" t="s">
        <v>49</v>
      </c>
      <c r="B47" s="65" t="s">
        <v>17</v>
      </c>
      <c r="C47" s="79" t="s">
        <v>133</v>
      </c>
      <c r="D47" s="83" t="s">
        <v>36</v>
      </c>
      <c r="E47" s="244">
        <v>7</v>
      </c>
      <c r="F47" s="261">
        <v>4</v>
      </c>
      <c r="G47" s="49">
        <v>0</v>
      </c>
      <c r="H47" s="73"/>
      <c r="I47" s="78">
        <f t="shared" si="0"/>
        <v>0</v>
      </c>
      <c r="J47" s="75"/>
    </row>
    <row r="48" spans="1:16" ht="30" x14ac:dyDescent="0.25">
      <c r="A48" s="76" t="s">
        <v>50</v>
      </c>
      <c r="B48" s="65" t="s">
        <v>17</v>
      </c>
      <c r="C48" s="79" t="s">
        <v>134</v>
      </c>
      <c r="D48" s="83" t="s">
        <v>36</v>
      </c>
      <c r="E48" s="244">
        <v>11</v>
      </c>
      <c r="F48" s="261">
        <v>9</v>
      </c>
      <c r="G48" s="49">
        <v>0</v>
      </c>
      <c r="H48" s="73"/>
      <c r="I48" s="78">
        <f t="shared" si="0"/>
        <v>0</v>
      </c>
      <c r="J48" s="75"/>
    </row>
    <row r="49" spans="1:10" ht="30" x14ac:dyDescent="0.25">
      <c r="A49" s="76" t="s">
        <v>51</v>
      </c>
      <c r="B49" s="65" t="s">
        <v>17</v>
      </c>
      <c r="C49" s="79" t="s">
        <v>135</v>
      </c>
      <c r="D49" s="83" t="s">
        <v>36</v>
      </c>
      <c r="E49" s="244">
        <v>10</v>
      </c>
      <c r="F49" s="261">
        <f>6+4</f>
        <v>10</v>
      </c>
      <c r="G49" s="49">
        <v>0</v>
      </c>
      <c r="H49" s="73"/>
      <c r="I49" s="78">
        <f t="shared" si="0"/>
        <v>0</v>
      </c>
      <c r="J49" s="75"/>
    </row>
    <row r="50" spans="1:10" x14ac:dyDescent="0.25">
      <c r="A50" s="76" t="s">
        <v>166</v>
      </c>
      <c r="B50" s="65" t="s">
        <v>17</v>
      </c>
      <c r="C50" s="79" t="s">
        <v>130</v>
      </c>
      <c r="D50" s="83" t="s">
        <v>36</v>
      </c>
      <c r="E50" s="244">
        <v>11</v>
      </c>
      <c r="F50" s="261">
        <v>9</v>
      </c>
      <c r="G50" s="49">
        <v>0</v>
      </c>
      <c r="H50" s="73"/>
      <c r="I50" s="78">
        <f t="shared" si="0"/>
        <v>0</v>
      </c>
      <c r="J50" s="75"/>
    </row>
    <row r="51" spans="1:10" ht="42.75" x14ac:dyDescent="0.25">
      <c r="A51" s="53" t="s">
        <v>52</v>
      </c>
      <c r="B51" s="139" t="s">
        <v>15</v>
      </c>
      <c r="C51" s="55" t="s">
        <v>136</v>
      </c>
      <c r="D51" s="62" t="s">
        <v>36</v>
      </c>
      <c r="E51" s="242">
        <v>1</v>
      </c>
      <c r="F51" s="258">
        <v>3</v>
      </c>
      <c r="G51" s="56"/>
      <c r="H51" s="57">
        <v>0</v>
      </c>
      <c r="I51" s="58"/>
      <c r="J51" s="59">
        <f>E51*H51</f>
        <v>0</v>
      </c>
    </row>
    <row r="52" spans="1:10" x14ac:dyDescent="0.25">
      <c r="A52" s="45" t="s">
        <v>80</v>
      </c>
      <c r="B52" s="140" t="s">
        <v>17</v>
      </c>
      <c r="C52" s="22" t="s">
        <v>137</v>
      </c>
      <c r="D52" s="48" t="s">
        <v>36</v>
      </c>
      <c r="E52" s="241">
        <v>2</v>
      </c>
      <c r="F52" s="257">
        <v>3</v>
      </c>
      <c r="G52" s="49">
        <v>0</v>
      </c>
      <c r="H52" s="50"/>
      <c r="I52" s="51">
        <f t="shared" ref="I52:I59" si="1">E52*G52</f>
        <v>0</v>
      </c>
      <c r="J52" s="23"/>
    </row>
    <row r="53" spans="1:10" ht="30" x14ac:dyDescent="0.25">
      <c r="A53" s="45" t="s">
        <v>42</v>
      </c>
      <c r="B53" s="140" t="s">
        <v>17</v>
      </c>
      <c r="C53" s="22" t="s">
        <v>138</v>
      </c>
      <c r="D53" s="48" t="s">
        <v>36</v>
      </c>
      <c r="E53" s="241">
        <v>2</v>
      </c>
      <c r="F53" s="257">
        <v>3</v>
      </c>
      <c r="G53" s="49">
        <v>0</v>
      </c>
      <c r="H53" s="50"/>
      <c r="I53" s="51">
        <f t="shared" si="1"/>
        <v>0</v>
      </c>
      <c r="J53" s="23"/>
    </row>
    <row r="54" spans="1:10" ht="30" x14ac:dyDescent="0.25">
      <c r="A54" s="45" t="s">
        <v>144</v>
      </c>
      <c r="B54" s="140" t="s">
        <v>17</v>
      </c>
      <c r="C54" s="22" t="s">
        <v>139</v>
      </c>
      <c r="D54" s="48" t="s">
        <v>36</v>
      </c>
      <c r="E54" s="241">
        <v>1</v>
      </c>
      <c r="F54" s="257">
        <v>6</v>
      </c>
      <c r="G54" s="49">
        <v>0</v>
      </c>
      <c r="H54" s="50"/>
      <c r="I54" s="51">
        <f t="shared" si="1"/>
        <v>0</v>
      </c>
      <c r="J54" s="23"/>
    </row>
    <row r="55" spans="1:10" ht="30" x14ac:dyDescent="0.25">
      <c r="A55" s="45" t="s">
        <v>145</v>
      </c>
      <c r="B55" s="140" t="s">
        <v>17</v>
      </c>
      <c r="C55" s="22" t="s">
        <v>140</v>
      </c>
      <c r="D55" s="48" t="s">
        <v>36</v>
      </c>
      <c r="E55" s="241">
        <v>1</v>
      </c>
      <c r="F55" s="257">
        <v>3</v>
      </c>
      <c r="G55" s="49">
        <v>0</v>
      </c>
      <c r="H55" s="50"/>
      <c r="I55" s="51">
        <f t="shared" si="1"/>
        <v>0</v>
      </c>
      <c r="J55" s="23"/>
    </row>
    <row r="56" spans="1:10" ht="30" x14ac:dyDescent="0.25">
      <c r="A56" s="45" t="s">
        <v>146</v>
      </c>
      <c r="B56" s="140" t="s">
        <v>17</v>
      </c>
      <c r="C56" s="22" t="s">
        <v>141</v>
      </c>
      <c r="D56" s="48" t="s">
        <v>36</v>
      </c>
      <c r="E56" s="241">
        <v>1</v>
      </c>
      <c r="F56" s="257">
        <v>3</v>
      </c>
      <c r="G56" s="49">
        <v>0</v>
      </c>
      <c r="H56" s="50"/>
      <c r="I56" s="51">
        <f t="shared" si="1"/>
        <v>0</v>
      </c>
      <c r="J56" s="23"/>
    </row>
    <row r="57" spans="1:10" ht="30" x14ac:dyDescent="0.25">
      <c r="A57" s="45" t="s">
        <v>147</v>
      </c>
      <c r="B57" s="140" t="s">
        <v>17</v>
      </c>
      <c r="C57" s="22" t="s">
        <v>142</v>
      </c>
      <c r="D57" s="48" t="s">
        <v>36</v>
      </c>
      <c r="E57" s="241">
        <v>4</v>
      </c>
      <c r="F57" s="257">
        <v>8</v>
      </c>
      <c r="G57" s="49">
        <v>0</v>
      </c>
      <c r="H57" s="50"/>
      <c r="I57" s="51">
        <f t="shared" si="1"/>
        <v>0</v>
      </c>
      <c r="J57" s="23"/>
    </row>
    <row r="58" spans="1:10" ht="30" x14ac:dyDescent="0.25">
      <c r="A58" s="45" t="s">
        <v>148</v>
      </c>
      <c r="B58" s="140" t="s">
        <v>17</v>
      </c>
      <c r="C58" s="22" t="s">
        <v>135</v>
      </c>
      <c r="D58" s="48" t="s">
        <v>36</v>
      </c>
      <c r="E58" s="241">
        <v>2</v>
      </c>
      <c r="F58" s="257">
        <v>6</v>
      </c>
      <c r="G58" s="49">
        <v>0</v>
      </c>
      <c r="H58" s="50"/>
      <c r="I58" s="51">
        <f t="shared" si="1"/>
        <v>0</v>
      </c>
      <c r="J58" s="23"/>
    </row>
    <row r="59" spans="1:10" ht="30" x14ac:dyDescent="0.25">
      <c r="A59" s="45" t="s">
        <v>149</v>
      </c>
      <c r="B59" s="140" t="s">
        <v>17</v>
      </c>
      <c r="C59" s="22" t="s">
        <v>143</v>
      </c>
      <c r="D59" s="48" t="s">
        <v>36</v>
      </c>
      <c r="E59" s="241">
        <v>1</v>
      </c>
      <c r="F59" s="257">
        <v>1</v>
      </c>
      <c r="G59" s="49">
        <v>0</v>
      </c>
      <c r="H59" s="50"/>
      <c r="I59" s="51">
        <f t="shared" si="1"/>
        <v>0</v>
      </c>
      <c r="J59" s="23"/>
    </row>
    <row r="60" spans="1:10" x14ac:dyDescent="0.25">
      <c r="A60" s="53" t="s">
        <v>54</v>
      </c>
      <c r="B60" s="133" t="s">
        <v>15</v>
      </c>
      <c r="C60" s="16" t="s">
        <v>183</v>
      </c>
      <c r="D60" s="62" t="s">
        <v>36</v>
      </c>
      <c r="E60" s="242">
        <v>1</v>
      </c>
      <c r="F60" s="258">
        <v>2</v>
      </c>
      <c r="G60" s="56"/>
      <c r="H60" s="57">
        <v>0</v>
      </c>
      <c r="I60" s="58"/>
      <c r="J60" s="20">
        <f>E60*H60</f>
        <v>0</v>
      </c>
    </row>
    <row r="61" spans="1:10" x14ac:dyDescent="0.25">
      <c r="A61" s="45" t="s">
        <v>56</v>
      </c>
      <c r="B61" s="140" t="s">
        <v>17</v>
      </c>
      <c r="C61" s="22" t="s">
        <v>184</v>
      </c>
      <c r="D61" s="48" t="s">
        <v>36</v>
      </c>
      <c r="E61" s="241">
        <v>1</v>
      </c>
      <c r="F61" s="257">
        <v>2</v>
      </c>
      <c r="G61" s="49">
        <v>0</v>
      </c>
      <c r="H61" s="50"/>
      <c r="I61" s="51">
        <f>E61*G61</f>
        <v>0</v>
      </c>
      <c r="J61" s="23"/>
    </row>
    <row r="62" spans="1:10" ht="45" x14ac:dyDescent="0.25">
      <c r="A62" s="45" t="s">
        <v>165</v>
      </c>
      <c r="B62" s="140" t="s">
        <v>17</v>
      </c>
      <c r="C62" s="22" t="s">
        <v>182</v>
      </c>
      <c r="D62" s="48" t="s">
        <v>25</v>
      </c>
      <c r="E62" s="241">
        <v>1</v>
      </c>
      <c r="F62" s="257">
        <v>1.85</v>
      </c>
      <c r="G62" s="49">
        <v>0</v>
      </c>
      <c r="H62" s="50"/>
      <c r="I62" s="51">
        <f>E62*G62</f>
        <v>0</v>
      </c>
      <c r="J62" s="23"/>
    </row>
    <row r="63" spans="1:10" x14ac:dyDescent="0.25">
      <c r="A63" s="45" t="s">
        <v>186</v>
      </c>
      <c r="B63" s="140" t="s">
        <v>17</v>
      </c>
      <c r="C63" s="22" t="s">
        <v>185</v>
      </c>
      <c r="D63" s="48" t="s">
        <v>36</v>
      </c>
      <c r="E63" s="241">
        <v>1</v>
      </c>
      <c r="F63" s="257">
        <v>2</v>
      </c>
      <c r="G63" s="49">
        <v>0</v>
      </c>
      <c r="H63" s="50"/>
      <c r="I63" s="51">
        <f>E63*G63</f>
        <v>0</v>
      </c>
      <c r="J63" s="23"/>
    </row>
    <row r="64" spans="1:10" x14ac:dyDescent="0.25">
      <c r="A64" s="53" t="s">
        <v>57</v>
      </c>
      <c r="B64" s="133" t="s">
        <v>15</v>
      </c>
      <c r="C64" s="16" t="s">
        <v>55</v>
      </c>
      <c r="D64" s="62" t="s">
        <v>36</v>
      </c>
      <c r="E64" s="242">
        <v>12</v>
      </c>
      <c r="F64" s="258">
        <v>2</v>
      </c>
      <c r="G64" s="56"/>
      <c r="H64" s="57">
        <v>0</v>
      </c>
      <c r="I64" s="58"/>
      <c r="J64" s="20">
        <f>E64*H64</f>
        <v>0</v>
      </c>
    </row>
    <row r="65" spans="1:10" x14ac:dyDescent="0.25">
      <c r="A65" s="45" t="s">
        <v>58</v>
      </c>
      <c r="B65" s="140" t="s">
        <v>17</v>
      </c>
      <c r="C65" s="22" t="s">
        <v>150</v>
      </c>
      <c r="D65" s="48" t="s">
        <v>36</v>
      </c>
      <c r="E65" s="241">
        <v>11</v>
      </c>
      <c r="F65" s="257">
        <v>11</v>
      </c>
      <c r="G65" s="49">
        <v>0</v>
      </c>
      <c r="H65" s="50"/>
      <c r="I65" s="51">
        <f>E65*G65</f>
        <v>0</v>
      </c>
      <c r="J65" s="23"/>
    </row>
    <row r="66" spans="1:10" x14ac:dyDescent="0.25">
      <c r="A66" s="45" t="s">
        <v>170</v>
      </c>
      <c r="B66" s="65" t="s">
        <v>17</v>
      </c>
      <c r="C66" s="47" t="s">
        <v>151</v>
      </c>
      <c r="D66" s="48" t="s">
        <v>36</v>
      </c>
      <c r="E66" s="241">
        <v>1</v>
      </c>
      <c r="F66" s="257">
        <v>1</v>
      </c>
      <c r="G66" s="49">
        <v>0</v>
      </c>
      <c r="H66" s="50"/>
      <c r="I66" s="51">
        <f>E66*G66</f>
        <v>0</v>
      </c>
      <c r="J66" s="52"/>
    </row>
    <row r="67" spans="1:10" ht="28.5" x14ac:dyDescent="0.25">
      <c r="A67" s="53" t="s">
        <v>86</v>
      </c>
      <c r="B67" s="133" t="s">
        <v>15</v>
      </c>
      <c r="C67" s="16" t="s">
        <v>152</v>
      </c>
      <c r="D67" s="62" t="s">
        <v>25</v>
      </c>
      <c r="E67" s="242">
        <v>157</v>
      </c>
      <c r="F67" s="255">
        <f>F25+F29</f>
        <v>157.1</v>
      </c>
      <c r="G67" s="56"/>
      <c r="H67" s="57">
        <v>0</v>
      </c>
      <c r="I67" s="58"/>
      <c r="J67" s="20">
        <f>E67*H67</f>
        <v>0</v>
      </c>
    </row>
    <row r="68" spans="1:10" ht="43.5" thickBot="1" x14ac:dyDescent="0.3">
      <c r="A68" s="69" t="s">
        <v>90</v>
      </c>
      <c r="B68" s="144" t="s">
        <v>15</v>
      </c>
      <c r="C68" s="70" t="s">
        <v>153</v>
      </c>
      <c r="D68" s="71" t="s">
        <v>25</v>
      </c>
      <c r="E68" s="247">
        <v>157</v>
      </c>
      <c r="F68" s="270">
        <f>F67</f>
        <v>157.1</v>
      </c>
      <c r="G68" s="72"/>
      <c r="H68" s="73">
        <v>0</v>
      </c>
      <c r="I68" s="74"/>
      <c r="J68" s="145">
        <f>E68*H68</f>
        <v>0</v>
      </c>
    </row>
    <row r="69" spans="1:10" x14ac:dyDescent="0.25">
      <c r="A69" s="84"/>
      <c r="B69" s="141"/>
      <c r="C69" s="31" t="s">
        <v>19</v>
      </c>
      <c r="D69" s="30"/>
      <c r="E69" s="248"/>
      <c r="F69" s="228"/>
      <c r="G69" s="32"/>
      <c r="H69" s="33"/>
      <c r="I69" s="34">
        <f>SUM(I23:I68)</f>
        <v>0</v>
      </c>
      <c r="J69" s="34">
        <f>SUM(J23:J68)</f>
        <v>0</v>
      </c>
    </row>
    <row r="70" spans="1:10" ht="15.75" thickBot="1" x14ac:dyDescent="0.3">
      <c r="A70" s="85"/>
      <c r="B70" s="142"/>
      <c r="C70" s="37" t="s">
        <v>262</v>
      </c>
      <c r="D70" s="86"/>
      <c r="E70" s="249"/>
      <c r="F70" s="265"/>
      <c r="G70" s="87"/>
      <c r="H70" s="88"/>
      <c r="I70" s="89"/>
      <c r="J70" s="41">
        <f>I69+J69</f>
        <v>0</v>
      </c>
    </row>
    <row r="71" spans="1:10" x14ac:dyDescent="0.25">
      <c r="A71" s="302"/>
      <c r="B71" s="301" t="s">
        <v>256</v>
      </c>
      <c r="C71" s="269" t="s">
        <v>233</v>
      </c>
      <c r="D71" s="302"/>
      <c r="E71" s="313"/>
      <c r="F71" s="303"/>
      <c r="G71" s="304"/>
      <c r="H71" s="305"/>
      <c r="I71" s="306"/>
      <c r="J71" s="307"/>
    </row>
    <row r="72" spans="1:10" x14ac:dyDescent="0.25">
      <c r="A72" s="77" t="s">
        <v>167</v>
      </c>
      <c r="B72" s="137"/>
      <c r="C72" s="314" t="s">
        <v>234</v>
      </c>
      <c r="D72" s="62"/>
      <c r="E72" s="316"/>
      <c r="F72" s="308"/>
      <c r="G72" s="309"/>
      <c r="H72" s="309"/>
      <c r="I72" s="309"/>
      <c r="J72" s="309"/>
    </row>
    <row r="73" spans="1:10" x14ac:dyDescent="0.25">
      <c r="A73" s="77" t="s">
        <v>97</v>
      </c>
      <c r="B73" s="138" t="s">
        <v>15</v>
      </c>
      <c r="C73" s="314" t="s">
        <v>236</v>
      </c>
      <c r="D73" s="62" t="s">
        <v>27</v>
      </c>
      <c r="E73" s="316"/>
      <c r="F73" s="308">
        <v>9</v>
      </c>
      <c r="G73" s="309"/>
      <c r="H73" s="309">
        <v>0</v>
      </c>
      <c r="I73" s="309"/>
      <c r="J73" s="309">
        <f t="shared" ref="J73:J80" si="2">E73*H73</f>
        <v>0</v>
      </c>
    </row>
    <row r="74" spans="1:10" ht="30" x14ac:dyDescent="0.25">
      <c r="A74" s="77" t="s">
        <v>246</v>
      </c>
      <c r="B74" s="140" t="s">
        <v>17</v>
      </c>
      <c r="C74" s="127" t="s">
        <v>235</v>
      </c>
      <c r="D74" s="48" t="s">
        <v>27</v>
      </c>
      <c r="E74" s="317"/>
      <c r="F74" s="310">
        <f>F73*1.03</f>
        <v>9.27</v>
      </c>
      <c r="G74" s="49">
        <v>0</v>
      </c>
      <c r="H74" s="50"/>
      <c r="I74" s="311">
        <f>E74*G74</f>
        <v>0</v>
      </c>
      <c r="J74" s="311"/>
    </row>
    <row r="75" spans="1:10" ht="28.5" x14ac:dyDescent="0.25">
      <c r="A75" s="77" t="s">
        <v>225</v>
      </c>
      <c r="B75" s="138" t="s">
        <v>15</v>
      </c>
      <c r="C75" s="314" t="s">
        <v>237</v>
      </c>
      <c r="D75" s="62" t="s">
        <v>16</v>
      </c>
      <c r="E75" s="316"/>
      <c r="F75" s="308">
        <f>1.8</f>
        <v>1.8</v>
      </c>
      <c r="G75" s="309"/>
      <c r="H75" s="309">
        <v>0</v>
      </c>
      <c r="I75" s="309"/>
      <c r="J75" s="309">
        <f t="shared" si="2"/>
        <v>0</v>
      </c>
    </row>
    <row r="76" spans="1:10" ht="30" x14ac:dyDescent="0.25">
      <c r="A76" s="77" t="s">
        <v>247</v>
      </c>
      <c r="B76" s="140" t="s">
        <v>17</v>
      </c>
      <c r="C76" s="127" t="s">
        <v>241</v>
      </c>
      <c r="D76" s="48" t="s">
        <v>27</v>
      </c>
      <c r="E76" s="317"/>
      <c r="F76" s="310">
        <f>F75*1.25</f>
        <v>2.25</v>
      </c>
      <c r="G76" s="49">
        <v>0</v>
      </c>
      <c r="H76" s="50"/>
      <c r="I76" s="311">
        <f>E76*G76</f>
        <v>0</v>
      </c>
      <c r="J76" s="311"/>
    </row>
    <row r="77" spans="1:10" x14ac:dyDescent="0.25">
      <c r="A77" s="77" t="s">
        <v>248</v>
      </c>
      <c r="B77" s="138" t="s">
        <v>15</v>
      </c>
      <c r="C77" s="314" t="s">
        <v>260</v>
      </c>
      <c r="D77" s="62" t="s">
        <v>27</v>
      </c>
      <c r="E77" s="316"/>
      <c r="F77" s="308">
        <v>8</v>
      </c>
      <c r="G77" s="309"/>
      <c r="H77" s="309">
        <v>0</v>
      </c>
      <c r="I77" s="309"/>
      <c r="J77" s="309">
        <f t="shared" si="2"/>
        <v>0</v>
      </c>
    </row>
    <row r="78" spans="1:10" ht="30" x14ac:dyDescent="0.25">
      <c r="A78" s="77" t="s">
        <v>247</v>
      </c>
      <c r="B78" s="140" t="s">
        <v>17</v>
      </c>
      <c r="C78" s="127" t="s">
        <v>258</v>
      </c>
      <c r="D78" s="48" t="s">
        <v>27</v>
      </c>
      <c r="E78" s="317"/>
      <c r="F78" s="310">
        <f>F77*1.1</f>
        <v>8.8000000000000007</v>
      </c>
      <c r="G78" s="49">
        <v>0</v>
      </c>
      <c r="H78" s="50"/>
      <c r="I78" s="311">
        <f>E78*G78</f>
        <v>0</v>
      </c>
      <c r="J78" s="311"/>
    </row>
    <row r="79" spans="1:10" x14ac:dyDescent="0.25">
      <c r="A79" s="77" t="s">
        <v>249</v>
      </c>
      <c r="B79" s="138" t="s">
        <v>15</v>
      </c>
      <c r="C79" s="314" t="s">
        <v>238</v>
      </c>
      <c r="D79" s="62" t="s">
        <v>16</v>
      </c>
      <c r="E79" s="316"/>
      <c r="F79" s="312">
        <f>2.4*2.4*0.3</f>
        <v>1.728</v>
      </c>
      <c r="G79" s="309"/>
      <c r="H79" s="309">
        <v>0</v>
      </c>
      <c r="I79" s="309"/>
      <c r="J79" s="309">
        <f t="shared" si="2"/>
        <v>0</v>
      </c>
    </row>
    <row r="80" spans="1:10" ht="30" x14ac:dyDescent="0.25">
      <c r="A80" s="77" t="s">
        <v>250</v>
      </c>
      <c r="B80" s="140" t="s">
        <v>17</v>
      </c>
      <c r="C80" s="127" t="s">
        <v>239</v>
      </c>
      <c r="D80" s="48" t="s">
        <v>41</v>
      </c>
      <c r="E80" s="317"/>
      <c r="F80" s="319">
        <f>F79*1.015</f>
        <v>1.7539199999999997</v>
      </c>
      <c r="G80" s="49">
        <v>0</v>
      </c>
      <c r="H80" s="50"/>
      <c r="I80" s="311">
        <f>E80*G80</f>
        <v>0</v>
      </c>
      <c r="J80" s="311">
        <f t="shared" si="2"/>
        <v>0</v>
      </c>
    </row>
    <row r="81" spans="1:10" ht="30" x14ac:dyDescent="0.25">
      <c r="A81" s="77" t="s">
        <v>251</v>
      </c>
      <c r="B81" s="140" t="s">
        <v>17</v>
      </c>
      <c r="C81" s="127" t="s">
        <v>240</v>
      </c>
      <c r="D81" s="48" t="s">
        <v>41</v>
      </c>
      <c r="E81" s="317"/>
      <c r="F81" s="310">
        <f>80.6+16.4+45.8</f>
        <v>142.80000000000001</v>
      </c>
      <c r="G81" s="49">
        <v>0</v>
      </c>
      <c r="H81" s="50"/>
      <c r="I81" s="311">
        <f>E81*G81</f>
        <v>0</v>
      </c>
      <c r="J81" s="311"/>
    </row>
    <row r="82" spans="1:10" ht="28.5" x14ac:dyDescent="0.25">
      <c r="A82" s="81" t="s">
        <v>99</v>
      </c>
      <c r="B82" s="138" t="s">
        <v>15</v>
      </c>
      <c r="C82" s="315" t="s">
        <v>129</v>
      </c>
      <c r="D82" s="62" t="s">
        <v>36</v>
      </c>
      <c r="E82" s="318">
        <v>1</v>
      </c>
      <c r="F82" s="308">
        <v>1</v>
      </c>
      <c r="G82" s="309"/>
      <c r="H82" s="309">
        <v>0</v>
      </c>
      <c r="I82" s="309"/>
      <c r="J82" s="309">
        <f>E82*H82</f>
        <v>0</v>
      </c>
    </row>
    <row r="83" spans="1:10" x14ac:dyDescent="0.25">
      <c r="A83" s="81" t="s">
        <v>104</v>
      </c>
      <c r="B83" s="65" t="s">
        <v>17</v>
      </c>
      <c r="C83" s="63" t="s">
        <v>279</v>
      </c>
      <c r="D83" s="68" t="s">
        <v>36</v>
      </c>
      <c r="E83" s="244">
        <v>1</v>
      </c>
      <c r="F83" s="431">
        <v>1</v>
      </c>
      <c r="G83" s="49">
        <v>0</v>
      </c>
      <c r="H83" s="50"/>
      <c r="I83" s="311">
        <f>E83*G83</f>
        <v>0</v>
      </c>
      <c r="J83" s="56"/>
    </row>
    <row r="84" spans="1:10" x14ac:dyDescent="0.25">
      <c r="A84" s="77" t="s">
        <v>61</v>
      </c>
      <c r="B84" s="137"/>
      <c r="C84" s="320" t="s">
        <v>242</v>
      </c>
      <c r="D84" s="62"/>
      <c r="E84" s="316"/>
      <c r="F84" s="308"/>
      <c r="G84" s="309"/>
      <c r="H84" s="309"/>
      <c r="I84" s="309"/>
      <c r="J84" s="309"/>
    </row>
    <row r="85" spans="1:10" x14ac:dyDescent="0.25">
      <c r="A85" s="77" t="s">
        <v>62</v>
      </c>
      <c r="B85" s="138" t="s">
        <v>15</v>
      </c>
      <c r="C85" s="314" t="s">
        <v>236</v>
      </c>
      <c r="D85" s="62" t="s">
        <v>27</v>
      </c>
      <c r="E85" s="316"/>
      <c r="F85" s="308">
        <v>9</v>
      </c>
      <c r="G85" s="309"/>
      <c r="H85" s="309">
        <v>0</v>
      </c>
      <c r="I85" s="309"/>
      <c r="J85" s="309">
        <f t="shared" ref="J85" si="3">E85*H85</f>
        <v>0</v>
      </c>
    </row>
    <row r="86" spans="1:10" ht="30" x14ac:dyDescent="0.25">
      <c r="A86" s="77" t="s">
        <v>252</v>
      </c>
      <c r="B86" s="140" t="s">
        <v>17</v>
      </c>
      <c r="C86" s="127" t="s">
        <v>235</v>
      </c>
      <c r="D86" s="48" t="s">
        <v>27</v>
      </c>
      <c r="E86" s="317"/>
      <c r="F86" s="310">
        <f>F85*1.03</f>
        <v>9.27</v>
      </c>
      <c r="G86" s="49">
        <v>0</v>
      </c>
      <c r="H86" s="50"/>
      <c r="I86" s="311">
        <f>E86*G86</f>
        <v>0</v>
      </c>
      <c r="J86" s="311"/>
    </row>
    <row r="87" spans="1:10" x14ac:dyDescent="0.25">
      <c r="A87" s="77" t="s">
        <v>63</v>
      </c>
      <c r="B87" s="138" t="s">
        <v>15</v>
      </c>
      <c r="C87" s="314" t="s">
        <v>243</v>
      </c>
      <c r="D87" s="62" t="s">
        <v>16</v>
      </c>
      <c r="E87" s="316"/>
      <c r="F87" s="308">
        <f>1.8</f>
        <v>1.8</v>
      </c>
      <c r="G87" s="309"/>
      <c r="H87" s="309">
        <v>0</v>
      </c>
      <c r="I87" s="309"/>
      <c r="J87" s="309">
        <f t="shared" ref="J87" si="4">E87*H87</f>
        <v>0</v>
      </c>
    </row>
    <row r="88" spans="1:10" ht="30" x14ac:dyDescent="0.25">
      <c r="A88" s="77" t="s">
        <v>253</v>
      </c>
      <c r="B88" s="140" t="s">
        <v>17</v>
      </c>
      <c r="C88" s="127" t="s">
        <v>244</v>
      </c>
      <c r="D88" s="48" t="s">
        <v>16</v>
      </c>
      <c r="E88" s="317"/>
      <c r="F88" s="310">
        <f>F87*1.1</f>
        <v>1.9800000000000002</v>
      </c>
      <c r="G88" s="49">
        <v>0</v>
      </c>
      <c r="H88" s="50"/>
      <c r="I88" s="311">
        <f>E88*G88</f>
        <v>0</v>
      </c>
      <c r="J88" s="311"/>
    </row>
    <row r="89" spans="1:10" x14ac:dyDescent="0.25">
      <c r="A89" s="77" t="s">
        <v>209</v>
      </c>
      <c r="B89" s="138" t="s">
        <v>15</v>
      </c>
      <c r="C89" s="314" t="s">
        <v>260</v>
      </c>
      <c r="D89" s="62" t="s">
        <v>27</v>
      </c>
      <c r="E89" s="316"/>
      <c r="F89" s="308">
        <v>8</v>
      </c>
      <c r="G89" s="309"/>
      <c r="H89" s="309">
        <v>0</v>
      </c>
      <c r="I89" s="309"/>
      <c r="J89" s="309">
        <f t="shared" ref="J89:J92" si="5">E89*H89</f>
        <v>0</v>
      </c>
    </row>
    <row r="90" spans="1:10" ht="30" x14ac:dyDescent="0.25">
      <c r="A90" s="77" t="s">
        <v>259</v>
      </c>
      <c r="B90" s="140" t="s">
        <v>17</v>
      </c>
      <c r="C90" s="127" t="s">
        <v>258</v>
      </c>
      <c r="D90" s="48" t="s">
        <v>27</v>
      </c>
      <c r="E90" s="317"/>
      <c r="F90" s="310">
        <f>F89*1.1</f>
        <v>8.8000000000000007</v>
      </c>
      <c r="G90" s="49">
        <v>0</v>
      </c>
      <c r="H90" s="50"/>
      <c r="I90" s="311">
        <f>E90*G90</f>
        <v>0</v>
      </c>
      <c r="J90" s="311"/>
    </row>
    <row r="91" spans="1:10" x14ac:dyDescent="0.25">
      <c r="A91" s="77" t="s">
        <v>210</v>
      </c>
      <c r="B91" s="138" t="s">
        <v>15</v>
      </c>
      <c r="C91" s="314" t="s">
        <v>245</v>
      </c>
      <c r="D91" s="62" t="s">
        <v>16</v>
      </c>
      <c r="E91" s="316"/>
      <c r="F91" s="312">
        <f>2.4*2.4*0.2</f>
        <v>1.1519999999999999</v>
      </c>
      <c r="G91" s="309"/>
      <c r="H91" s="309">
        <v>0</v>
      </c>
      <c r="I91" s="309"/>
      <c r="J91" s="309">
        <f t="shared" si="5"/>
        <v>0</v>
      </c>
    </row>
    <row r="92" spans="1:10" ht="30" x14ac:dyDescent="0.25">
      <c r="A92" s="77" t="s">
        <v>254</v>
      </c>
      <c r="B92" s="140" t="s">
        <v>17</v>
      </c>
      <c r="C92" s="127" t="s">
        <v>239</v>
      </c>
      <c r="D92" s="48" t="s">
        <v>41</v>
      </c>
      <c r="E92" s="317"/>
      <c r="F92" s="319">
        <f>F91*1.015</f>
        <v>1.1692799999999999</v>
      </c>
      <c r="G92" s="49">
        <v>0</v>
      </c>
      <c r="H92" s="50"/>
      <c r="I92" s="311">
        <f>E92*G92</f>
        <v>0</v>
      </c>
      <c r="J92" s="311">
        <f t="shared" si="5"/>
        <v>0</v>
      </c>
    </row>
    <row r="93" spans="1:10" ht="30.75" thickBot="1" x14ac:dyDescent="0.3">
      <c r="A93" s="77" t="s">
        <v>255</v>
      </c>
      <c r="B93" s="140" t="s">
        <v>17</v>
      </c>
      <c r="C93" s="127" t="s">
        <v>240</v>
      </c>
      <c r="D93" s="48" t="s">
        <v>41</v>
      </c>
      <c r="E93" s="317"/>
      <c r="F93" s="310">
        <f>80.6+13.5+44.2</f>
        <v>138.30000000000001</v>
      </c>
      <c r="G93" s="49">
        <v>0</v>
      </c>
      <c r="H93" s="50"/>
      <c r="I93" s="311">
        <f>E93*G93</f>
        <v>0</v>
      </c>
      <c r="J93" s="311">
        <f t="shared" ref="J93" si="6">E93*H93</f>
        <v>0</v>
      </c>
    </row>
    <row r="94" spans="1:10" s="93" customFormat="1" ht="15.75" thickBot="1" x14ac:dyDescent="0.3">
      <c r="A94" s="13"/>
      <c r="B94" s="146"/>
      <c r="C94" s="432" t="s">
        <v>280</v>
      </c>
      <c r="D94" s="8"/>
      <c r="E94" s="253"/>
      <c r="F94" s="266"/>
      <c r="G94" s="95"/>
      <c r="H94" s="43"/>
      <c r="I94" s="42">
        <f>SUM(I72:I93)</f>
        <v>0</v>
      </c>
      <c r="J94" s="163">
        <f>SUM(J72:J93)</f>
        <v>0</v>
      </c>
    </row>
    <row r="95" spans="1:10" s="93" customFormat="1" ht="15.75" thickBot="1" x14ac:dyDescent="0.3">
      <c r="A95" s="159"/>
      <c r="B95" s="160"/>
      <c r="C95" s="433" t="s">
        <v>161</v>
      </c>
      <c r="D95" s="285"/>
      <c r="E95" s="238"/>
      <c r="F95" s="286"/>
      <c r="G95" s="100"/>
      <c r="H95" s="161"/>
      <c r="I95" s="162"/>
      <c r="J95" s="163">
        <f>I94+J94</f>
        <v>0</v>
      </c>
    </row>
    <row r="96" spans="1:10" ht="29.25" customHeight="1" thickBot="1" x14ac:dyDescent="0.3">
      <c r="A96" s="220"/>
      <c r="B96" s="221" t="s">
        <v>257</v>
      </c>
      <c r="C96" s="235" t="s">
        <v>155</v>
      </c>
      <c r="D96" s="236"/>
      <c r="E96" s="236"/>
      <c r="F96" s="269"/>
      <c r="G96" s="236"/>
      <c r="H96" s="236"/>
      <c r="I96" s="236"/>
      <c r="J96" s="237"/>
    </row>
    <row r="97" spans="1:17" ht="29.25" customHeight="1" x14ac:dyDescent="0.25">
      <c r="A97" s="112" t="s">
        <v>21</v>
      </c>
      <c r="B97" s="132" t="s">
        <v>15</v>
      </c>
      <c r="C97" s="152" t="s">
        <v>71</v>
      </c>
      <c r="D97" s="158" t="s">
        <v>16</v>
      </c>
      <c r="E97" s="250">
        <v>427</v>
      </c>
      <c r="F97" s="228">
        <v>251.4</v>
      </c>
      <c r="G97" s="32"/>
      <c r="H97" s="35">
        <v>0</v>
      </c>
      <c r="I97" s="32"/>
      <c r="J97" s="35">
        <f>E97*H97</f>
        <v>0</v>
      </c>
    </row>
    <row r="98" spans="1:17" ht="29.25" customHeight="1" x14ac:dyDescent="0.25">
      <c r="A98" s="81" t="s">
        <v>22</v>
      </c>
      <c r="B98" s="138" t="s">
        <v>15</v>
      </c>
      <c r="C98" s="153" t="s">
        <v>72</v>
      </c>
      <c r="D98" s="154" t="s">
        <v>16</v>
      </c>
      <c r="E98" s="251">
        <v>13</v>
      </c>
      <c r="F98" s="258">
        <f>259.04-F97</f>
        <v>7.6400000000000148</v>
      </c>
      <c r="G98" s="56"/>
      <c r="H98" s="59">
        <v>0</v>
      </c>
      <c r="I98" s="56"/>
      <c r="J98" s="59">
        <f>E98*H98</f>
        <v>0</v>
      </c>
    </row>
    <row r="99" spans="1:17" ht="29.25" customHeight="1" x14ac:dyDescent="0.25">
      <c r="A99" s="81" t="s">
        <v>24</v>
      </c>
      <c r="B99" s="164" t="s">
        <v>15</v>
      </c>
      <c r="C99" s="153" t="s">
        <v>156</v>
      </c>
      <c r="D99" s="154" t="s">
        <v>16</v>
      </c>
      <c r="E99" s="251">
        <v>18</v>
      </c>
      <c r="F99" s="258">
        <v>27.8</v>
      </c>
      <c r="G99" s="56"/>
      <c r="H99" s="59">
        <v>0</v>
      </c>
      <c r="I99" s="56"/>
      <c r="J99" s="20">
        <f>E99*H99</f>
        <v>0</v>
      </c>
    </row>
    <row r="100" spans="1:17" ht="29.25" customHeight="1" x14ac:dyDescent="0.25">
      <c r="A100" s="77" t="s">
        <v>26</v>
      </c>
      <c r="B100" s="150" t="s">
        <v>17</v>
      </c>
      <c r="C100" s="156" t="s">
        <v>109</v>
      </c>
      <c r="D100" s="155" t="s">
        <v>16</v>
      </c>
      <c r="E100" s="252">
        <v>19.8</v>
      </c>
      <c r="F100" s="257">
        <f>F99*1.1</f>
        <v>30.580000000000002</v>
      </c>
      <c r="G100" s="49">
        <v>0</v>
      </c>
      <c r="H100" s="52"/>
      <c r="I100" s="49">
        <f>E100*G100</f>
        <v>0</v>
      </c>
      <c r="J100" s="52"/>
    </row>
    <row r="101" spans="1:17" ht="29.25" customHeight="1" x14ac:dyDescent="0.25">
      <c r="A101" s="81" t="s">
        <v>28</v>
      </c>
      <c r="B101" s="149" t="s">
        <v>15</v>
      </c>
      <c r="C101" s="153" t="s">
        <v>154</v>
      </c>
      <c r="D101" s="154" t="s">
        <v>16</v>
      </c>
      <c r="E101" s="251">
        <v>415</v>
      </c>
      <c r="F101" s="258">
        <f>F97+F98-F99-F103-0.96</f>
        <v>224.81</v>
      </c>
      <c r="G101" s="56"/>
      <c r="H101" s="59">
        <v>0</v>
      </c>
      <c r="I101" s="56"/>
      <c r="J101" s="59">
        <f>E101*H101</f>
        <v>0</v>
      </c>
    </row>
    <row r="102" spans="1:17" ht="29.25" customHeight="1" x14ac:dyDescent="0.25">
      <c r="A102" s="81" t="s">
        <v>32</v>
      </c>
      <c r="B102" s="149" t="s">
        <v>15</v>
      </c>
      <c r="C102" s="153" t="s">
        <v>18</v>
      </c>
      <c r="D102" s="154" t="s">
        <v>16</v>
      </c>
      <c r="E102" s="251">
        <v>415</v>
      </c>
      <c r="F102" s="258">
        <f>F101</f>
        <v>224.81</v>
      </c>
      <c r="G102" s="56"/>
      <c r="H102" s="59">
        <v>0</v>
      </c>
      <c r="I102" s="56"/>
      <c r="J102" s="59">
        <f>E102*H102</f>
        <v>0</v>
      </c>
    </row>
    <row r="103" spans="1:17" ht="29.25" customHeight="1" x14ac:dyDescent="0.25">
      <c r="A103" s="81" t="s">
        <v>37</v>
      </c>
      <c r="B103" s="149" t="s">
        <v>15</v>
      </c>
      <c r="C103" s="153" t="s">
        <v>74</v>
      </c>
      <c r="D103" s="154" t="s">
        <v>16</v>
      </c>
      <c r="E103" s="251">
        <v>6</v>
      </c>
      <c r="F103" s="258">
        <v>5.47</v>
      </c>
      <c r="G103" s="56"/>
      <c r="H103" s="59">
        <v>0</v>
      </c>
      <c r="I103" s="56"/>
      <c r="J103" s="59">
        <f>E103*H103</f>
        <v>0</v>
      </c>
    </row>
    <row r="104" spans="1:17" ht="29.25" customHeight="1" x14ac:dyDescent="0.25">
      <c r="A104" s="77" t="s">
        <v>39</v>
      </c>
      <c r="B104" s="150" t="s">
        <v>17</v>
      </c>
      <c r="C104" s="127" t="s">
        <v>109</v>
      </c>
      <c r="D104" s="155" t="s">
        <v>16</v>
      </c>
      <c r="E104" s="252"/>
      <c r="F104" s="256">
        <f>F103*1.1</f>
        <v>6.0170000000000003</v>
      </c>
      <c r="G104" s="49"/>
      <c r="H104" s="52"/>
      <c r="I104" s="49"/>
      <c r="J104" s="52"/>
    </row>
    <row r="105" spans="1:17" ht="29.25" customHeight="1" x14ac:dyDescent="0.25">
      <c r="A105" s="81" t="s">
        <v>43</v>
      </c>
      <c r="B105" s="149" t="s">
        <v>15</v>
      </c>
      <c r="C105" s="153" t="s">
        <v>121</v>
      </c>
      <c r="D105" s="154" t="s">
        <v>25</v>
      </c>
      <c r="E105" s="251">
        <v>30.4</v>
      </c>
      <c r="F105" s="258">
        <v>30.4</v>
      </c>
      <c r="G105" s="56"/>
      <c r="H105" s="59">
        <v>0</v>
      </c>
      <c r="I105" s="56"/>
      <c r="J105" s="59">
        <f>E105*H105</f>
        <v>0</v>
      </c>
    </row>
    <row r="106" spans="1:17" ht="29.25" customHeight="1" x14ac:dyDescent="0.25">
      <c r="A106" s="77" t="s">
        <v>45</v>
      </c>
      <c r="B106" s="150" t="s">
        <v>17</v>
      </c>
      <c r="C106" s="156" t="s">
        <v>122</v>
      </c>
      <c r="D106" s="155" t="s">
        <v>36</v>
      </c>
      <c r="E106" s="252">
        <v>6</v>
      </c>
      <c r="F106" s="257">
        <v>6</v>
      </c>
      <c r="G106" s="49">
        <v>0</v>
      </c>
      <c r="H106" s="52"/>
      <c r="I106" s="49">
        <f>E106*G106</f>
        <v>0</v>
      </c>
      <c r="J106" s="52"/>
      <c r="Q106" s="3">
        <v>2</v>
      </c>
    </row>
    <row r="107" spans="1:17" ht="54" customHeight="1" x14ac:dyDescent="0.25">
      <c r="A107" s="77" t="s">
        <v>47</v>
      </c>
      <c r="B107" s="150" t="s">
        <v>17</v>
      </c>
      <c r="C107" s="156" t="s">
        <v>158</v>
      </c>
      <c r="D107" s="155" t="s">
        <v>25</v>
      </c>
      <c r="E107" s="252">
        <v>31.16</v>
      </c>
      <c r="F107" s="257">
        <f>E107/E105*F105</f>
        <v>31.160000000000004</v>
      </c>
      <c r="G107" s="49">
        <v>0</v>
      </c>
      <c r="H107" s="52"/>
      <c r="I107" s="49">
        <f>E107*G107</f>
        <v>0</v>
      </c>
      <c r="J107" s="52"/>
    </row>
    <row r="108" spans="1:17" ht="29.25" customHeight="1" x14ac:dyDescent="0.25">
      <c r="A108" s="81" t="s">
        <v>52</v>
      </c>
      <c r="B108" s="149" t="s">
        <v>15</v>
      </c>
      <c r="C108" s="153" t="s">
        <v>53</v>
      </c>
      <c r="D108" s="154" t="s">
        <v>36</v>
      </c>
      <c r="E108" s="251">
        <v>2</v>
      </c>
      <c r="F108" s="258">
        <v>2</v>
      </c>
      <c r="G108" s="56"/>
      <c r="H108" s="59">
        <v>0</v>
      </c>
      <c r="I108" s="56"/>
      <c r="J108" s="59">
        <f>E108*H108</f>
        <v>0</v>
      </c>
    </row>
    <row r="109" spans="1:17" ht="29.25" customHeight="1" x14ac:dyDescent="0.25">
      <c r="A109" s="81" t="s">
        <v>54</v>
      </c>
      <c r="B109" s="149" t="s">
        <v>15</v>
      </c>
      <c r="C109" s="153" t="s">
        <v>85</v>
      </c>
      <c r="D109" s="154" t="s">
        <v>36</v>
      </c>
      <c r="E109" s="251">
        <v>2</v>
      </c>
      <c r="F109" s="258">
        <v>2</v>
      </c>
      <c r="G109" s="56"/>
      <c r="H109" s="59">
        <v>0</v>
      </c>
      <c r="I109" s="56"/>
      <c r="J109" s="59">
        <f>E109*H109</f>
        <v>0</v>
      </c>
    </row>
    <row r="110" spans="1:17" ht="29.25" customHeight="1" x14ac:dyDescent="0.25">
      <c r="A110" s="77" t="s">
        <v>56</v>
      </c>
      <c r="B110" s="150" t="s">
        <v>17</v>
      </c>
      <c r="C110" s="156" t="s">
        <v>157</v>
      </c>
      <c r="D110" s="155" t="s">
        <v>36</v>
      </c>
      <c r="E110" s="252">
        <v>2</v>
      </c>
      <c r="F110" s="257">
        <v>2</v>
      </c>
      <c r="G110" s="49">
        <v>0</v>
      </c>
      <c r="H110" s="52"/>
      <c r="I110" s="49">
        <f>E110*G110</f>
        <v>0</v>
      </c>
      <c r="J110" s="52"/>
    </row>
    <row r="111" spans="1:17" ht="29.25" customHeight="1" x14ac:dyDescent="0.25">
      <c r="A111" s="81" t="s">
        <v>57</v>
      </c>
      <c r="B111" s="149" t="s">
        <v>15</v>
      </c>
      <c r="C111" s="153" t="s">
        <v>128</v>
      </c>
      <c r="D111" s="154" t="s">
        <v>159</v>
      </c>
      <c r="E111" s="251">
        <v>1</v>
      </c>
      <c r="F111" s="258">
        <v>1</v>
      </c>
      <c r="G111" s="56"/>
      <c r="H111" s="59">
        <v>0</v>
      </c>
      <c r="I111" s="56"/>
      <c r="J111" s="59">
        <f>E111*H111</f>
        <v>0</v>
      </c>
    </row>
    <row r="112" spans="1:17" ht="29.25" customHeight="1" x14ac:dyDescent="0.25">
      <c r="A112" s="81" t="s">
        <v>86</v>
      </c>
      <c r="B112" s="149" t="s">
        <v>15</v>
      </c>
      <c r="C112" s="153" t="s">
        <v>152</v>
      </c>
      <c r="D112" s="154" t="s">
        <v>25</v>
      </c>
      <c r="E112" s="251">
        <v>30.4</v>
      </c>
      <c r="F112" s="258">
        <v>30.4</v>
      </c>
      <c r="G112" s="56"/>
      <c r="H112" s="59">
        <v>0</v>
      </c>
      <c r="I112" s="56"/>
      <c r="J112" s="59">
        <f>E112*H112</f>
        <v>0</v>
      </c>
    </row>
    <row r="113" spans="1:10" ht="29.25" customHeight="1" thickBot="1" x14ac:dyDescent="0.3">
      <c r="A113" s="81" t="s">
        <v>90</v>
      </c>
      <c r="B113" s="149" t="s">
        <v>15</v>
      </c>
      <c r="C113" s="153" t="s">
        <v>160</v>
      </c>
      <c r="D113" s="154" t="s">
        <v>25</v>
      </c>
      <c r="E113" s="251">
        <v>30.4</v>
      </c>
      <c r="F113" s="258">
        <v>30.4</v>
      </c>
      <c r="G113" s="56"/>
      <c r="H113" s="59">
        <v>0</v>
      </c>
      <c r="I113" s="56"/>
      <c r="J113" s="59">
        <f>E113*H113</f>
        <v>0</v>
      </c>
    </row>
    <row r="114" spans="1:10" s="93" customFormat="1" ht="15.75" thickBot="1" x14ac:dyDescent="0.3">
      <c r="A114" s="13"/>
      <c r="B114" s="146"/>
      <c r="C114" s="432" t="s">
        <v>281</v>
      </c>
      <c r="D114" s="8"/>
      <c r="E114" s="253"/>
      <c r="F114" s="266"/>
      <c r="G114" s="95"/>
      <c r="H114" s="43"/>
      <c r="I114" s="42">
        <f>SUM(I97:I113)</f>
        <v>0</v>
      </c>
      <c r="J114" s="163">
        <f>SUM(J96:J113)</f>
        <v>0</v>
      </c>
    </row>
    <row r="115" spans="1:10" s="93" customFormat="1" ht="15.75" thickBot="1" x14ac:dyDescent="0.3">
      <c r="A115" s="159"/>
      <c r="B115" s="160"/>
      <c r="C115" s="433" t="s">
        <v>161</v>
      </c>
      <c r="D115" s="118"/>
      <c r="E115" s="238"/>
      <c r="F115" s="267"/>
      <c r="G115" s="100"/>
      <c r="H115" s="161"/>
      <c r="I115" s="162"/>
      <c r="J115" s="163">
        <f>I114+J114</f>
        <v>0</v>
      </c>
    </row>
    <row r="116" spans="1:10" ht="15.75" thickBot="1" x14ac:dyDescent="0.3">
      <c r="A116" s="148"/>
      <c r="B116" s="147"/>
      <c r="C116" s="98" t="s">
        <v>65</v>
      </c>
      <c r="D116" s="97"/>
      <c r="E116" s="239"/>
      <c r="F116" s="268"/>
      <c r="G116" s="100"/>
      <c r="H116" s="101"/>
      <c r="I116" s="102"/>
      <c r="J116" s="103">
        <f>J21+J70+J115</f>
        <v>0</v>
      </c>
    </row>
    <row r="117" spans="1:10" ht="15.75" thickBot="1" x14ac:dyDescent="0.3">
      <c r="A117" s="148"/>
      <c r="B117" s="147"/>
      <c r="C117" s="98" t="s">
        <v>66</v>
      </c>
      <c r="D117" s="97"/>
      <c r="E117" s="239"/>
      <c r="F117" s="268"/>
      <c r="G117" s="100"/>
      <c r="H117" s="101"/>
      <c r="I117" s="102"/>
      <c r="J117" s="103">
        <f>J116/1.2*20%</f>
        <v>0</v>
      </c>
    </row>
    <row r="119" spans="1:10" s="105" customFormat="1" x14ac:dyDescent="0.25">
      <c r="A119" s="1"/>
      <c r="B119" s="128"/>
      <c r="C119" s="1"/>
      <c r="D119" s="1"/>
      <c r="E119" s="1"/>
      <c r="F119" s="1"/>
      <c r="G119" s="2"/>
      <c r="H119" s="2"/>
      <c r="I119" s="108"/>
      <c r="J119" s="104"/>
    </row>
    <row r="120" spans="1:10" x14ac:dyDescent="0.25">
      <c r="A120" s="3"/>
      <c r="B120" s="143"/>
      <c r="C120" s="3"/>
      <c r="D120" s="3"/>
      <c r="E120" s="3"/>
      <c r="F120" s="3"/>
      <c r="G120" s="3"/>
      <c r="H120" s="3"/>
      <c r="I120" s="3"/>
      <c r="J120" s="3"/>
    </row>
    <row r="121" spans="1:10" x14ac:dyDescent="0.25">
      <c r="A121" s="3"/>
      <c r="B121" s="143"/>
      <c r="C121" s="3"/>
      <c r="D121" s="3"/>
      <c r="E121" s="3"/>
      <c r="F121" s="3"/>
      <c r="G121" s="3"/>
      <c r="H121" s="3"/>
      <c r="I121" s="3"/>
      <c r="J121" s="106"/>
    </row>
  </sheetData>
  <mergeCells count="12">
    <mergeCell ref="I9:J9"/>
    <mergeCell ref="I1:J1"/>
    <mergeCell ref="G2:J2"/>
    <mergeCell ref="A5:J5"/>
    <mergeCell ref="A6:J6"/>
    <mergeCell ref="A7:J7"/>
    <mergeCell ref="A9:A10"/>
    <mergeCell ref="C9:C10"/>
    <mergeCell ref="D9:D10"/>
    <mergeCell ref="E9:E10"/>
    <mergeCell ref="G9:H9"/>
    <mergeCell ref="F9:F10"/>
  </mergeCells>
  <phoneticPr fontId="1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DC3A2-3B7D-47CC-9CC6-A08C37E89D9D}">
  <sheetPr>
    <pageSetUpPr fitToPage="1"/>
  </sheetPr>
  <dimension ref="A1:AH130"/>
  <sheetViews>
    <sheetView topLeftCell="A110" zoomScaleNormal="100" zoomScaleSheetLayoutView="100" workbookViewId="0">
      <selection activeCell="A125" sqref="A125:XFD157"/>
    </sheetView>
  </sheetViews>
  <sheetFormatPr defaultColWidth="9.140625" defaultRowHeight="15" x14ac:dyDescent="0.25"/>
  <cols>
    <col min="1" max="1" width="6" style="1" customWidth="1"/>
    <col min="2" max="2" width="17.7109375" style="128" customWidth="1"/>
    <col min="3" max="3" width="91" style="1" customWidth="1"/>
    <col min="4" max="4" width="7" style="1" customWidth="1"/>
    <col min="5" max="5" width="13.28515625" style="1" customWidth="1"/>
    <col min="6" max="6" width="17.28515625" style="3" customWidth="1"/>
    <col min="7" max="7" width="22.7109375" style="3" customWidth="1"/>
    <col min="8" max="8" width="16.140625" style="3" customWidth="1"/>
    <col min="9" max="9" width="13.7109375" style="3" customWidth="1"/>
    <col min="10" max="10" width="15.42578125" style="3" customWidth="1"/>
    <col min="11" max="11" width="21.7109375" style="3" customWidth="1"/>
    <col min="12" max="16384" width="9.140625" style="3"/>
  </cols>
  <sheetData>
    <row r="1" spans="1:11" s="631" customFormat="1" x14ac:dyDescent="0.2">
      <c r="A1" s="632"/>
      <c r="B1" s="633"/>
      <c r="C1" s="633"/>
      <c r="D1" s="633"/>
      <c r="H1" s="633"/>
      <c r="I1" s="633"/>
      <c r="J1" s="633"/>
    </row>
    <row r="2" spans="1:11" s="631" customFormat="1" ht="15.75" x14ac:dyDescent="0.2">
      <c r="A2" s="634" t="s">
        <v>589</v>
      </c>
      <c r="B2" s="635"/>
      <c r="C2" s="635"/>
      <c r="D2" s="635"/>
      <c r="E2" s="636"/>
      <c r="F2" s="636"/>
      <c r="G2" s="637"/>
      <c r="H2" s="637"/>
      <c r="I2" s="637"/>
      <c r="J2" s="637"/>
    </row>
    <row r="4" spans="1:11" s="631" customFormat="1" ht="15.75" customHeight="1" x14ac:dyDescent="0.2">
      <c r="A4" s="693" t="s">
        <v>590</v>
      </c>
      <c r="B4" s="693"/>
      <c r="C4" s="693"/>
      <c r="D4" s="693"/>
      <c r="E4" s="693"/>
      <c r="F4" s="693"/>
      <c r="G4" s="693"/>
      <c r="H4" s="693"/>
      <c r="I4" s="693"/>
      <c r="J4" s="693"/>
    </row>
    <row r="5" spans="1:11" s="631" customFormat="1" x14ac:dyDescent="0.2">
      <c r="A5" s="694" t="s">
        <v>591</v>
      </c>
      <c r="B5" s="694"/>
      <c r="C5" s="694"/>
      <c r="D5" s="694"/>
      <c r="E5" s="694"/>
      <c r="F5" s="694"/>
      <c r="G5" s="694"/>
      <c r="H5" s="694"/>
      <c r="I5" s="694"/>
      <c r="J5" s="694"/>
    </row>
    <row r="6" spans="1:11" s="631" customFormat="1" ht="45" customHeight="1" thickBot="1" x14ac:dyDescent="0.25">
      <c r="A6" s="695" t="s">
        <v>601</v>
      </c>
      <c r="B6" s="695"/>
      <c r="C6" s="695"/>
      <c r="D6" s="695"/>
      <c r="E6" s="695"/>
      <c r="F6" s="695"/>
      <c r="G6" s="695"/>
      <c r="H6" s="695"/>
      <c r="I6" s="695"/>
      <c r="J6" s="695"/>
      <c r="K6" s="695"/>
    </row>
    <row r="7" spans="1:11" s="5" customFormat="1" ht="15" customHeight="1" x14ac:dyDescent="0.25">
      <c r="A7" s="702" t="s">
        <v>4</v>
      </c>
      <c r="B7" s="129" t="s">
        <v>5</v>
      </c>
      <c r="C7" s="702" t="s">
        <v>6</v>
      </c>
      <c r="D7" s="702" t="s">
        <v>7</v>
      </c>
      <c r="E7" s="699" t="s">
        <v>337</v>
      </c>
      <c r="F7" s="696" t="s">
        <v>592</v>
      </c>
      <c r="G7" s="696"/>
      <c r="H7" s="696" t="s">
        <v>593</v>
      </c>
      <c r="I7" s="696"/>
      <c r="J7" s="696"/>
      <c r="K7" s="697" t="s">
        <v>594</v>
      </c>
    </row>
    <row r="8" spans="1:11" ht="16.5" thickBot="1" x14ac:dyDescent="0.3">
      <c r="A8" s="703"/>
      <c r="B8" s="130" t="s">
        <v>11</v>
      </c>
      <c r="C8" s="704"/>
      <c r="D8" s="704"/>
      <c r="E8" s="701"/>
      <c r="F8" s="638" t="s">
        <v>595</v>
      </c>
      <c r="G8" s="638" t="s">
        <v>13</v>
      </c>
      <c r="H8" s="638" t="s">
        <v>595</v>
      </c>
      <c r="I8" s="638" t="s">
        <v>13</v>
      </c>
      <c r="J8" s="638" t="s">
        <v>596</v>
      </c>
      <c r="K8" s="698"/>
    </row>
    <row r="9" spans="1:11" ht="15.75" thickBot="1" x14ac:dyDescent="0.3">
      <c r="A9" s="577">
        <v>1</v>
      </c>
      <c r="B9" s="515">
        <v>2</v>
      </c>
      <c r="C9" s="577">
        <v>3</v>
      </c>
      <c r="D9" s="222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</row>
    <row r="10" spans="1:11" ht="28.5" customHeight="1" x14ac:dyDescent="0.25">
      <c r="A10" s="501"/>
      <c r="B10" s="502" t="s">
        <v>14</v>
      </c>
      <c r="C10" s="503" t="s">
        <v>228</v>
      </c>
      <c r="D10" s="518"/>
      <c r="E10" s="641"/>
      <c r="F10" s="656"/>
      <c r="G10" s="518"/>
      <c r="H10" s="518"/>
      <c r="I10" s="518"/>
      <c r="J10" s="518"/>
      <c r="K10" s="504"/>
    </row>
    <row r="11" spans="1:11" ht="28.5" x14ac:dyDescent="0.25">
      <c r="A11" s="377" t="s">
        <v>21</v>
      </c>
      <c r="B11" s="325"/>
      <c r="C11" s="326" t="s">
        <v>71</v>
      </c>
      <c r="D11" s="326" t="s">
        <v>16</v>
      </c>
      <c r="E11" s="642">
        <v>781.21</v>
      </c>
      <c r="F11" s="657"/>
      <c r="G11" s="639"/>
      <c r="H11" s="639"/>
      <c r="I11" s="640">
        <f>E11*G11</f>
        <v>0</v>
      </c>
      <c r="J11" s="640">
        <f>H11+I11</f>
        <v>0</v>
      </c>
      <c r="K11" s="658"/>
    </row>
    <row r="12" spans="1:11" ht="28.5" x14ac:dyDescent="0.25">
      <c r="A12" s="375">
        <v>2</v>
      </c>
      <c r="B12" s="325"/>
      <c r="C12" s="328" t="s">
        <v>72</v>
      </c>
      <c r="D12" s="451" t="s">
        <v>16</v>
      </c>
      <c r="E12" s="642">
        <v>24.81</v>
      </c>
      <c r="F12" s="657"/>
      <c r="G12" s="639"/>
      <c r="H12" s="639"/>
      <c r="I12" s="640">
        <f t="shared" ref="I12:I68" si="0">E12*G12</f>
        <v>0</v>
      </c>
      <c r="J12" s="640">
        <f t="shared" ref="J12:J68" si="1">H12+I12</f>
        <v>0</v>
      </c>
      <c r="K12" s="658"/>
    </row>
    <row r="13" spans="1:11" ht="15.75" x14ac:dyDescent="0.25">
      <c r="A13" s="373" t="s">
        <v>24</v>
      </c>
      <c r="B13" s="325"/>
      <c r="C13" s="328" t="s">
        <v>107</v>
      </c>
      <c r="D13" s="451" t="s">
        <v>16</v>
      </c>
      <c r="E13" s="643">
        <v>124.919</v>
      </c>
      <c r="F13" s="657"/>
      <c r="G13" s="639"/>
      <c r="H13" s="639"/>
      <c r="I13" s="640">
        <f t="shared" si="0"/>
        <v>0</v>
      </c>
      <c r="J13" s="640">
        <f t="shared" si="1"/>
        <v>0</v>
      </c>
      <c r="K13" s="658"/>
    </row>
    <row r="14" spans="1:11" ht="15.75" customHeight="1" x14ac:dyDescent="0.2">
      <c r="A14" s="377" t="s">
        <v>26</v>
      </c>
      <c r="B14" s="329"/>
      <c r="C14" s="330" t="s">
        <v>109</v>
      </c>
      <c r="D14" s="461" t="s">
        <v>16</v>
      </c>
      <c r="E14" s="644">
        <f>E13*1.1</f>
        <v>137.4109</v>
      </c>
      <c r="F14" s="657"/>
      <c r="G14" s="639"/>
      <c r="H14" s="639">
        <f>F14*E14</f>
        <v>0</v>
      </c>
      <c r="I14" s="639"/>
      <c r="J14" s="639">
        <f t="shared" si="1"/>
        <v>0</v>
      </c>
      <c r="K14" s="658"/>
    </row>
    <row r="15" spans="1:11" ht="31.5" customHeight="1" x14ac:dyDescent="0.25">
      <c r="A15" s="375">
        <v>4</v>
      </c>
      <c r="B15" s="325"/>
      <c r="C15" s="328" t="s">
        <v>154</v>
      </c>
      <c r="D15" s="451" t="s">
        <v>16</v>
      </c>
      <c r="E15" s="643">
        <v>632.23</v>
      </c>
      <c r="F15" s="657"/>
      <c r="G15" s="639"/>
      <c r="H15" s="639"/>
      <c r="I15" s="640">
        <f t="shared" si="0"/>
        <v>0</v>
      </c>
      <c r="J15" s="640">
        <f t="shared" si="1"/>
        <v>0</v>
      </c>
      <c r="K15" s="658"/>
    </row>
    <row r="16" spans="1:11" x14ac:dyDescent="0.2">
      <c r="A16" s="377" t="s">
        <v>30</v>
      </c>
      <c r="B16" s="329"/>
      <c r="C16" s="330" t="s">
        <v>109</v>
      </c>
      <c r="D16" s="461" t="s">
        <v>16</v>
      </c>
      <c r="E16" s="644">
        <v>426.26</v>
      </c>
      <c r="F16" s="657"/>
      <c r="G16" s="639"/>
      <c r="H16" s="639">
        <f t="shared" ref="H16:H61" si="2">F16*E16</f>
        <v>0</v>
      </c>
      <c r="I16" s="639"/>
      <c r="J16" s="639">
        <f t="shared" si="1"/>
        <v>0</v>
      </c>
      <c r="K16" s="658"/>
    </row>
    <row r="17" spans="1:11" ht="15.75" x14ac:dyDescent="0.25">
      <c r="A17" s="377" t="s">
        <v>338</v>
      </c>
      <c r="B17" s="325"/>
      <c r="C17" s="330" t="s">
        <v>339</v>
      </c>
      <c r="D17" s="461" t="s">
        <v>16</v>
      </c>
      <c r="E17" s="644">
        <v>205.97</v>
      </c>
      <c r="F17" s="657"/>
      <c r="G17" s="639"/>
      <c r="H17" s="639"/>
      <c r="I17" s="640"/>
      <c r="J17" s="640">
        <f t="shared" si="1"/>
        <v>0</v>
      </c>
      <c r="K17" s="658"/>
    </row>
    <row r="18" spans="1:11" ht="15.75" x14ac:dyDescent="0.25">
      <c r="A18" s="375">
        <v>5</v>
      </c>
      <c r="B18" s="324"/>
      <c r="C18" s="328" t="s">
        <v>18</v>
      </c>
      <c r="D18" s="451" t="s">
        <v>16</v>
      </c>
      <c r="E18" s="643">
        <v>632.23</v>
      </c>
      <c r="F18" s="657"/>
      <c r="G18" s="639"/>
      <c r="H18" s="639"/>
      <c r="I18" s="640">
        <f t="shared" si="0"/>
        <v>0</v>
      </c>
      <c r="J18" s="640">
        <f t="shared" si="1"/>
        <v>0</v>
      </c>
      <c r="K18" s="658"/>
    </row>
    <row r="19" spans="1:11" ht="16.5" thickBot="1" x14ac:dyDescent="0.3">
      <c r="A19" s="526">
        <v>6</v>
      </c>
      <c r="B19" s="527"/>
      <c r="C19" s="528" t="s">
        <v>198</v>
      </c>
      <c r="D19" s="529" t="s">
        <v>60</v>
      </c>
      <c r="E19" s="645">
        <f>(E11+E12)*1.6</f>
        <v>1289.6320000000001</v>
      </c>
      <c r="F19" s="657"/>
      <c r="G19" s="639"/>
      <c r="H19" s="639"/>
      <c r="I19" s="640">
        <f t="shared" si="0"/>
        <v>0</v>
      </c>
      <c r="J19" s="640">
        <f t="shared" si="1"/>
        <v>0</v>
      </c>
      <c r="K19" s="658"/>
    </row>
    <row r="20" spans="1:11" ht="26.25" customHeight="1" x14ac:dyDescent="0.25">
      <c r="A20" s="505"/>
      <c r="B20" s="506" t="s">
        <v>20</v>
      </c>
      <c r="C20" s="503" t="s">
        <v>227</v>
      </c>
      <c r="D20" s="534"/>
      <c r="E20" s="646"/>
      <c r="F20" s="656"/>
      <c r="G20" s="518"/>
      <c r="H20" s="518"/>
      <c r="I20" s="518"/>
      <c r="J20" s="518"/>
      <c r="K20" s="504"/>
    </row>
    <row r="21" spans="1:11" ht="15.75" x14ac:dyDescent="0.25">
      <c r="A21" s="373" t="s">
        <v>43</v>
      </c>
      <c r="B21" s="324"/>
      <c r="C21" s="328" t="s">
        <v>74</v>
      </c>
      <c r="D21" s="451" t="s">
        <v>16</v>
      </c>
      <c r="E21" s="643">
        <v>24.55</v>
      </c>
      <c r="F21" s="657"/>
      <c r="G21" s="639"/>
      <c r="H21" s="639"/>
      <c r="I21" s="640">
        <f t="shared" si="0"/>
        <v>0</v>
      </c>
      <c r="J21" s="640">
        <f t="shared" si="1"/>
        <v>0</v>
      </c>
      <c r="K21" s="658"/>
    </row>
    <row r="22" spans="1:11" x14ac:dyDescent="0.2">
      <c r="A22" s="377" t="s">
        <v>45</v>
      </c>
      <c r="B22" s="459"/>
      <c r="C22" s="330" t="s">
        <v>109</v>
      </c>
      <c r="D22" s="461" t="s">
        <v>16</v>
      </c>
      <c r="E22" s="647">
        <f>E21*1.1</f>
        <v>27.005000000000003</v>
      </c>
      <c r="F22" s="657"/>
      <c r="G22" s="639"/>
      <c r="H22" s="639">
        <f t="shared" si="2"/>
        <v>0</v>
      </c>
      <c r="I22" s="639"/>
      <c r="J22" s="639">
        <f t="shared" si="1"/>
        <v>0</v>
      </c>
      <c r="K22" s="658"/>
    </row>
    <row r="23" spans="1:11" ht="28.5" x14ac:dyDescent="0.25">
      <c r="A23" s="373" t="s">
        <v>52</v>
      </c>
      <c r="B23" s="325"/>
      <c r="C23" s="328" t="s">
        <v>121</v>
      </c>
      <c r="D23" s="451" t="s">
        <v>25</v>
      </c>
      <c r="E23" s="648">
        <v>154.1</v>
      </c>
      <c r="F23" s="657"/>
      <c r="G23" s="639"/>
      <c r="H23" s="639"/>
      <c r="I23" s="640">
        <f t="shared" si="0"/>
        <v>0</v>
      </c>
      <c r="J23" s="640">
        <f t="shared" si="1"/>
        <v>0</v>
      </c>
      <c r="K23" s="658"/>
    </row>
    <row r="24" spans="1:11" ht="30" x14ac:dyDescent="0.2">
      <c r="A24" s="377" t="s">
        <v>80</v>
      </c>
      <c r="B24" s="459"/>
      <c r="C24" s="330" t="s">
        <v>559</v>
      </c>
      <c r="D24" s="461" t="s">
        <v>25</v>
      </c>
      <c r="E24" s="647">
        <v>158</v>
      </c>
      <c r="F24" s="657"/>
      <c r="G24" s="639"/>
      <c r="H24" s="639">
        <f t="shared" si="2"/>
        <v>0</v>
      </c>
      <c r="I24" s="639"/>
      <c r="J24" s="639">
        <f t="shared" si="1"/>
        <v>0</v>
      </c>
      <c r="K24" s="658"/>
    </row>
    <row r="25" spans="1:11" x14ac:dyDescent="0.2">
      <c r="A25" s="377" t="s">
        <v>42</v>
      </c>
      <c r="B25" s="459"/>
      <c r="C25" s="330" t="s">
        <v>123</v>
      </c>
      <c r="D25" s="461" t="s">
        <v>36</v>
      </c>
      <c r="E25" s="647">
        <v>41</v>
      </c>
      <c r="F25" s="657"/>
      <c r="G25" s="639"/>
      <c r="H25" s="639">
        <f t="shared" si="2"/>
        <v>0</v>
      </c>
      <c r="I25" s="639"/>
      <c r="J25" s="639">
        <f t="shared" si="1"/>
        <v>0</v>
      </c>
      <c r="K25" s="658"/>
    </row>
    <row r="26" spans="1:11" x14ac:dyDescent="0.2">
      <c r="A26" s="377" t="s">
        <v>144</v>
      </c>
      <c r="B26" s="459"/>
      <c r="C26" s="330" t="s">
        <v>122</v>
      </c>
      <c r="D26" s="516" t="s">
        <v>36</v>
      </c>
      <c r="E26" s="644">
        <v>20</v>
      </c>
      <c r="F26" s="657"/>
      <c r="G26" s="639"/>
      <c r="H26" s="639">
        <f t="shared" si="2"/>
        <v>0</v>
      </c>
      <c r="I26" s="639"/>
      <c r="J26" s="639">
        <f t="shared" si="1"/>
        <v>0</v>
      </c>
      <c r="K26" s="658"/>
    </row>
    <row r="27" spans="1:11" ht="28.5" x14ac:dyDescent="0.25">
      <c r="A27" s="373" t="s">
        <v>54</v>
      </c>
      <c r="B27" s="324"/>
      <c r="C27" s="456" t="s">
        <v>124</v>
      </c>
      <c r="D27" s="451" t="s">
        <v>25</v>
      </c>
      <c r="E27" s="642">
        <v>3</v>
      </c>
      <c r="F27" s="657"/>
      <c r="G27" s="639"/>
      <c r="H27" s="639"/>
      <c r="I27" s="640">
        <f t="shared" si="0"/>
        <v>0</v>
      </c>
      <c r="J27" s="640">
        <f t="shared" si="1"/>
        <v>0</v>
      </c>
      <c r="K27" s="658"/>
    </row>
    <row r="28" spans="1:11" x14ac:dyDescent="0.2">
      <c r="A28" s="377" t="s">
        <v>56</v>
      </c>
      <c r="B28" s="459"/>
      <c r="C28" s="330" t="s">
        <v>125</v>
      </c>
      <c r="D28" s="461" t="s">
        <v>25</v>
      </c>
      <c r="E28" s="649">
        <f>E27*1.025</f>
        <v>3.0749999999999997</v>
      </c>
      <c r="F28" s="657"/>
      <c r="G28" s="639"/>
      <c r="H28" s="639">
        <f t="shared" si="2"/>
        <v>0</v>
      </c>
      <c r="I28" s="639"/>
      <c r="J28" s="639">
        <f t="shared" si="1"/>
        <v>0</v>
      </c>
      <c r="K28" s="658"/>
    </row>
    <row r="29" spans="1:11" ht="28.5" x14ac:dyDescent="0.25">
      <c r="A29" s="373" t="s">
        <v>57</v>
      </c>
      <c r="B29" s="324"/>
      <c r="C29" s="456" t="s">
        <v>126</v>
      </c>
      <c r="D29" s="451" t="s">
        <v>25</v>
      </c>
      <c r="E29" s="642">
        <v>27.5</v>
      </c>
      <c r="F29" s="657"/>
      <c r="G29" s="639"/>
      <c r="H29" s="639"/>
      <c r="I29" s="640">
        <f t="shared" si="0"/>
        <v>0</v>
      </c>
      <c r="J29" s="640">
        <f t="shared" si="1"/>
        <v>0</v>
      </c>
      <c r="K29" s="658"/>
    </row>
    <row r="30" spans="1:11" ht="30" x14ac:dyDescent="0.2">
      <c r="A30" s="377" t="s">
        <v>58</v>
      </c>
      <c r="B30" s="459"/>
      <c r="C30" s="460" t="s">
        <v>193</v>
      </c>
      <c r="D30" s="461" t="s">
        <v>25</v>
      </c>
      <c r="E30" s="650">
        <f>E29*1.025</f>
        <v>28.187499999999996</v>
      </c>
      <c r="F30" s="657"/>
      <c r="G30" s="639"/>
      <c r="H30" s="639">
        <f t="shared" si="2"/>
        <v>0</v>
      </c>
      <c r="I30" s="639"/>
      <c r="J30" s="639">
        <f t="shared" si="1"/>
        <v>0</v>
      </c>
      <c r="K30" s="658"/>
    </row>
    <row r="31" spans="1:11" s="67" customFormat="1" ht="28.5" x14ac:dyDescent="0.25">
      <c r="A31" s="373" t="s">
        <v>86</v>
      </c>
      <c r="B31" s="325"/>
      <c r="C31" s="456" t="s">
        <v>128</v>
      </c>
      <c r="D31" s="451" t="s">
        <v>36</v>
      </c>
      <c r="E31" s="642">
        <v>1</v>
      </c>
      <c r="F31" s="657"/>
      <c r="G31" s="639"/>
      <c r="H31" s="639"/>
      <c r="I31" s="640">
        <f t="shared" si="0"/>
        <v>0</v>
      </c>
      <c r="J31" s="640">
        <f t="shared" si="1"/>
        <v>0</v>
      </c>
      <c r="K31" s="658"/>
    </row>
    <row r="32" spans="1:11" ht="15.75" x14ac:dyDescent="0.25">
      <c r="A32" s="373" t="s">
        <v>90</v>
      </c>
      <c r="B32" s="324"/>
      <c r="C32" s="328" t="s">
        <v>38</v>
      </c>
      <c r="D32" s="451" t="s">
        <v>16</v>
      </c>
      <c r="E32" s="643">
        <v>2.74</v>
      </c>
      <c r="F32" s="657"/>
      <c r="G32" s="639"/>
      <c r="H32" s="639"/>
      <c r="I32" s="640">
        <f t="shared" si="0"/>
        <v>0</v>
      </c>
      <c r="J32" s="640">
        <f t="shared" si="1"/>
        <v>0</v>
      </c>
      <c r="K32" s="658"/>
    </row>
    <row r="33" spans="1:11" x14ac:dyDescent="0.2">
      <c r="A33" s="377" t="s">
        <v>93</v>
      </c>
      <c r="B33" s="459"/>
      <c r="C33" s="330" t="s">
        <v>40</v>
      </c>
      <c r="D33" s="461" t="s">
        <v>16</v>
      </c>
      <c r="E33" s="650">
        <f>E32*1.25</f>
        <v>3.4250000000000003</v>
      </c>
      <c r="F33" s="657"/>
      <c r="G33" s="639"/>
      <c r="H33" s="639">
        <f t="shared" si="2"/>
        <v>0</v>
      </c>
      <c r="I33" s="639"/>
      <c r="J33" s="639">
        <f t="shared" si="1"/>
        <v>0</v>
      </c>
      <c r="K33" s="658"/>
    </row>
    <row r="34" spans="1:11" ht="56.25" customHeight="1" x14ac:dyDescent="0.25">
      <c r="A34" s="373" t="s">
        <v>167</v>
      </c>
      <c r="B34" s="325"/>
      <c r="C34" s="517" t="s">
        <v>44</v>
      </c>
      <c r="D34" s="451" t="s">
        <v>36</v>
      </c>
      <c r="E34" s="642">
        <v>9</v>
      </c>
      <c r="F34" s="657"/>
      <c r="G34" s="639"/>
      <c r="H34" s="639"/>
      <c r="I34" s="640">
        <f t="shared" si="0"/>
        <v>0</v>
      </c>
      <c r="J34" s="640">
        <f t="shared" si="1"/>
        <v>0</v>
      </c>
      <c r="K34" s="658"/>
    </row>
    <row r="35" spans="1:11" x14ac:dyDescent="0.2">
      <c r="A35" s="377" t="s">
        <v>97</v>
      </c>
      <c r="B35" s="459"/>
      <c r="C35" s="330" t="s">
        <v>46</v>
      </c>
      <c r="D35" s="329" t="s">
        <v>36</v>
      </c>
      <c r="E35" s="644">
        <v>22</v>
      </c>
      <c r="F35" s="657"/>
      <c r="G35" s="639"/>
      <c r="H35" s="639">
        <f t="shared" si="2"/>
        <v>0</v>
      </c>
      <c r="I35" s="639"/>
      <c r="J35" s="639">
        <f t="shared" si="1"/>
        <v>0</v>
      </c>
      <c r="K35" s="658"/>
    </row>
    <row r="36" spans="1:11" x14ac:dyDescent="0.2">
      <c r="A36" s="377" t="s">
        <v>225</v>
      </c>
      <c r="B36" s="459"/>
      <c r="C36" s="330" t="s">
        <v>131</v>
      </c>
      <c r="D36" s="329" t="s">
        <v>36</v>
      </c>
      <c r="E36" s="644">
        <v>9</v>
      </c>
      <c r="F36" s="657"/>
      <c r="G36" s="639"/>
      <c r="H36" s="639">
        <f t="shared" si="2"/>
        <v>0</v>
      </c>
      <c r="I36" s="639"/>
      <c r="J36" s="639">
        <f t="shared" si="1"/>
        <v>0</v>
      </c>
      <c r="K36" s="658"/>
    </row>
    <row r="37" spans="1:11" ht="30" x14ac:dyDescent="0.2">
      <c r="A37" s="377" t="s">
        <v>248</v>
      </c>
      <c r="B37" s="459"/>
      <c r="C37" s="330" t="s">
        <v>132</v>
      </c>
      <c r="D37" s="329" t="s">
        <v>36</v>
      </c>
      <c r="E37" s="644">
        <v>11</v>
      </c>
      <c r="F37" s="657"/>
      <c r="G37" s="639"/>
      <c r="H37" s="639">
        <f t="shared" si="2"/>
        <v>0</v>
      </c>
      <c r="I37" s="639"/>
      <c r="J37" s="639">
        <f t="shared" si="1"/>
        <v>0</v>
      </c>
      <c r="K37" s="658"/>
    </row>
    <row r="38" spans="1:11" ht="30" x14ac:dyDescent="0.2">
      <c r="A38" s="377" t="s">
        <v>249</v>
      </c>
      <c r="B38" s="459"/>
      <c r="C38" s="330" t="s">
        <v>133</v>
      </c>
      <c r="D38" s="329" t="s">
        <v>36</v>
      </c>
      <c r="E38" s="644">
        <v>4</v>
      </c>
      <c r="F38" s="657"/>
      <c r="G38" s="639"/>
      <c r="H38" s="639">
        <f t="shared" si="2"/>
        <v>0</v>
      </c>
      <c r="I38" s="639"/>
      <c r="J38" s="639">
        <f t="shared" si="1"/>
        <v>0</v>
      </c>
      <c r="K38" s="658"/>
    </row>
    <row r="39" spans="1:11" ht="30" x14ac:dyDescent="0.2">
      <c r="A39" s="377" t="s">
        <v>367</v>
      </c>
      <c r="B39" s="459"/>
      <c r="C39" s="330" t="s">
        <v>134</v>
      </c>
      <c r="D39" s="329" t="s">
        <v>36</v>
      </c>
      <c r="E39" s="644">
        <v>9</v>
      </c>
      <c r="F39" s="657"/>
      <c r="G39" s="639"/>
      <c r="H39" s="639">
        <f t="shared" si="2"/>
        <v>0</v>
      </c>
      <c r="I39" s="639"/>
      <c r="J39" s="639">
        <f t="shared" si="1"/>
        <v>0</v>
      </c>
      <c r="K39" s="658"/>
    </row>
    <row r="40" spans="1:11" ht="30" x14ac:dyDescent="0.2">
      <c r="A40" s="377" t="s">
        <v>368</v>
      </c>
      <c r="B40" s="459"/>
      <c r="C40" s="330" t="s">
        <v>135</v>
      </c>
      <c r="D40" s="329" t="s">
        <v>36</v>
      </c>
      <c r="E40" s="644">
        <v>10</v>
      </c>
      <c r="F40" s="657"/>
      <c r="G40" s="639"/>
      <c r="H40" s="639">
        <f t="shared" si="2"/>
        <v>0</v>
      </c>
      <c r="I40" s="639"/>
      <c r="J40" s="639">
        <f t="shared" si="1"/>
        <v>0</v>
      </c>
      <c r="K40" s="658"/>
    </row>
    <row r="41" spans="1:11" x14ac:dyDescent="0.2">
      <c r="A41" s="377" t="s">
        <v>369</v>
      </c>
      <c r="B41" s="459"/>
      <c r="C41" s="330" t="s">
        <v>340</v>
      </c>
      <c r="D41" s="329" t="s">
        <v>36</v>
      </c>
      <c r="E41" s="644">
        <v>3</v>
      </c>
      <c r="F41" s="657"/>
      <c r="G41" s="639"/>
      <c r="H41" s="639">
        <f t="shared" si="2"/>
        <v>0</v>
      </c>
      <c r="I41" s="639"/>
      <c r="J41" s="639">
        <f t="shared" si="1"/>
        <v>0</v>
      </c>
      <c r="K41" s="658"/>
    </row>
    <row r="42" spans="1:11" x14ac:dyDescent="0.2">
      <c r="A42" s="377" t="s">
        <v>370</v>
      </c>
      <c r="B42" s="459"/>
      <c r="C42" s="330" t="s">
        <v>341</v>
      </c>
      <c r="D42" s="329" t="s">
        <v>36</v>
      </c>
      <c r="E42" s="644">
        <v>5</v>
      </c>
      <c r="F42" s="657"/>
      <c r="G42" s="639"/>
      <c r="H42" s="639">
        <f t="shared" si="2"/>
        <v>0</v>
      </c>
      <c r="I42" s="639"/>
      <c r="J42" s="639">
        <f t="shared" si="1"/>
        <v>0</v>
      </c>
      <c r="K42" s="658"/>
    </row>
    <row r="43" spans="1:11" x14ac:dyDescent="0.2">
      <c r="A43" s="377" t="s">
        <v>371</v>
      </c>
      <c r="B43" s="459"/>
      <c r="C43" s="330" t="s">
        <v>342</v>
      </c>
      <c r="D43" s="329" t="s">
        <v>36</v>
      </c>
      <c r="E43" s="644">
        <v>1</v>
      </c>
      <c r="F43" s="657"/>
      <c r="G43" s="639"/>
      <c r="H43" s="639">
        <f t="shared" si="2"/>
        <v>0</v>
      </c>
      <c r="I43" s="639"/>
      <c r="J43" s="639">
        <f t="shared" si="1"/>
        <v>0</v>
      </c>
      <c r="K43" s="658"/>
    </row>
    <row r="44" spans="1:11" ht="28.5" x14ac:dyDescent="0.25">
      <c r="A44" s="373" t="s">
        <v>99</v>
      </c>
      <c r="B44" s="324"/>
      <c r="C44" s="328" t="s">
        <v>136</v>
      </c>
      <c r="D44" s="451" t="s">
        <v>36</v>
      </c>
      <c r="E44" s="642">
        <v>3</v>
      </c>
      <c r="F44" s="657"/>
      <c r="G44" s="639"/>
      <c r="H44" s="639"/>
      <c r="I44" s="640">
        <f t="shared" si="0"/>
        <v>0</v>
      </c>
      <c r="J44" s="640">
        <f t="shared" si="1"/>
        <v>0</v>
      </c>
      <c r="K44" s="658"/>
    </row>
    <row r="45" spans="1:11" x14ac:dyDescent="0.2">
      <c r="A45" s="377" t="s">
        <v>104</v>
      </c>
      <c r="B45" s="329"/>
      <c r="C45" s="330" t="s">
        <v>343</v>
      </c>
      <c r="D45" s="461" t="s">
        <v>36</v>
      </c>
      <c r="E45" s="644">
        <v>1</v>
      </c>
      <c r="F45" s="657"/>
      <c r="G45" s="639"/>
      <c r="H45" s="639">
        <f t="shared" si="2"/>
        <v>0</v>
      </c>
      <c r="I45" s="639"/>
      <c r="J45" s="639">
        <f t="shared" si="1"/>
        <v>0</v>
      </c>
      <c r="K45" s="658"/>
    </row>
    <row r="46" spans="1:11" x14ac:dyDescent="0.2">
      <c r="A46" s="377" t="s">
        <v>169</v>
      </c>
      <c r="B46" s="329"/>
      <c r="C46" s="330" t="s">
        <v>344</v>
      </c>
      <c r="D46" s="461" t="s">
        <v>36</v>
      </c>
      <c r="E46" s="644">
        <v>1</v>
      </c>
      <c r="F46" s="657"/>
      <c r="G46" s="639"/>
      <c r="H46" s="639">
        <f t="shared" si="2"/>
        <v>0</v>
      </c>
      <c r="I46" s="639"/>
      <c r="J46" s="639">
        <f t="shared" si="1"/>
        <v>0</v>
      </c>
      <c r="K46" s="658"/>
    </row>
    <row r="47" spans="1:11" x14ac:dyDescent="0.2">
      <c r="A47" s="377" t="s">
        <v>200</v>
      </c>
      <c r="B47" s="329"/>
      <c r="C47" s="330" t="s">
        <v>137</v>
      </c>
      <c r="D47" s="461" t="s">
        <v>36</v>
      </c>
      <c r="E47" s="644">
        <v>1</v>
      </c>
      <c r="F47" s="657"/>
      <c r="G47" s="639"/>
      <c r="H47" s="639">
        <f t="shared" si="2"/>
        <v>0</v>
      </c>
      <c r="I47" s="639"/>
      <c r="J47" s="639">
        <f t="shared" si="1"/>
        <v>0</v>
      </c>
      <c r="K47" s="658"/>
    </row>
    <row r="48" spans="1:11" x14ac:dyDescent="0.2">
      <c r="A48" s="377" t="s">
        <v>201</v>
      </c>
      <c r="B48" s="329"/>
      <c r="C48" s="330" t="s">
        <v>138</v>
      </c>
      <c r="D48" s="461" t="s">
        <v>36</v>
      </c>
      <c r="E48" s="644">
        <v>3</v>
      </c>
      <c r="F48" s="657"/>
      <c r="G48" s="639"/>
      <c r="H48" s="639">
        <f t="shared" si="2"/>
        <v>0</v>
      </c>
      <c r="I48" s="639"/>
      <c r="J48" s="639">
        <f t="shared" si="1"/>
        <v>0</v>
      </c>
      <c r="K48" s="658"/>
    </row>
    <row r="49" spans="1:11" ht="30" x14ac:dyDescent="0.2">
      <c r="A49" s="377" t="s">
        <v>202</v>
      </c>
      <c r="B49" s="329"/>
      <c r="C49" s="330" t="s">
        <v>139</v>
      </c>
      <c r="D49" s="461" t="s">
        <v>36</v>
      </c>
      <c r="E49" s="644">
        <v>6</v>
      </c>
      <c r="F49" s="657"/>
      <c r="G49" s="639"/>
      <c r="H49" s="639">
        <f t="shared" si="2"/>
        <v>0</v>
      </c>
      <c r="I49" s="639"/>
      <c r="J49" s="639">
        <f t="shared" si="1"/>
        <v>0</v>
      </c>
      <c r="K49" s="658"/>
    </row>
    <row r="50" spans="1:11" ht="30" x14ac:dyDescent="0.2">
      <c r="A50" s="377" t="s">
        <v>203</v>
      </c>
      <c r="B50" s="329"/>
      <c r="C50" s="330" t="s">
        <v>140</v>
      </c>
      <c r="D50" s="461" t="s">
        <v>36</v>
      </c>
      <c r="E50" s="644">
        <v>3</v>
      </c>
      <c r="F50" s="657"/>
      <c r="G50" s="639"/>
      <c r="H50" s="639">
        <f t="shared" si="2"/>
        <v>0</v>
      </c>
      <c r="I50" s="639"/>
      <c r="J50" s="639">
        <f t="shared" si="1"/>
        <v>0</v>
      </c>
      <c r="K50" s="658"/>
    </row>
    <row r="51" spans="1:11" ht="30" x14ac:dyDescent="0.2">
      <c r="A51" s="377" t="s">
        <v>204</v>
      </c>
      <c r="B51" s="329"/>
      <c r="C51" s="330" t="s">
        <v>345</v>
      </c>
      <c r="D51" s="461" t="s">
        <v>36</v>
      </c>
      <c r="E51" s="644">
        <v>3</v>
      </c>
      <c r="F51" s="657"/>
      <c r="G51" s="639"/>
      <c r="H51" s="639">
        <f t="shared" si="2"/>
        <v>0</v>
      </c>
      <c r="I51" s="639"/>
      <c r="J51" s="639">
        <f t="shared" si="1"/>
        <v>0</v>
      </c>
      <c r="K51" s="658"/>
    </row>
    <row r="52" spans="1:11" x14ac:dyDescent="0.2">
      <c r="A52" s="377" t="s">
        <v>392</v>
      </c>
      <c r="B52" s="329"/>
      <c r="C52" s="330" t="s">
        <v>142</v>
      </c>
      <c r="D52" s="461" t="s">
        <v>36</v>
      </c>
      <c r="E52" s="644">
        <v>8</v>
      </c>
      <c r="F52" s="657"/>
      <c r="G52" s="639"/>
      <c r="H52" s="639">
        <f t="shared" si="2"/>
        <v>0</v>
      </c>
      <c r="I52" s="639"/>
      <c r="J52" s="639">
        <f t="shared" si="1"/>
        <v>0</v>
      </c>
      <c r="K52" s="658"/>
    </row>
    <row r="53" spans="1:11" ht="30" x14ac:dyDescent="0.2">
      <c r="A53" s="377" t="s">
        <v>393</v>
      </c>
      <c r="B53" s="329"/>
      <c r="C53" s="330" t="s">
        <v>135</v>
      </c>
      <c r="D53" s="461" t="s">
        <v>36</v>
      </c>
      <c r="E53" s="644">
        <v>6</v>
      </c>
      <c r="F53" s="657"/>
      <c r="G53" s="639"/>
      <c r="H53" s="639">
        <f t="shared" si="2"/>
        <v>0</v>
      </c>
      <c r="I53" s="639"/>
      <c r="J53" s="639">
        <f t="shared" si="1"/>
        <v>0</v>
      </c>
      <c r="K53" s="658"/>
    </row>
    <row r="54" spans="1:11" ht="30" x14ac:dyDescent="0.2">
      <c r="A54" s="377" t="s">
        <v>394</v>
      </c>
      <c r="B54" s="329"/>
      <c r="C54" s="330" t="s">
        <v>143</v>
      </c>
      <c r="D54" s="461" t="s">
        <v>36</v>
      </c>
      <c r="E54" s="644">
        <v>1</v>
      </c>
      <c r="F54" s="657"/>
      <c r="G54" s="639"/>
      <c r="H54" s="639">
        <f t="shared" si="2"/>
        <v>0</v>
      </c>
      <c r="I54" s="639"/>
      <c r="J54" s="639">
        <f t="shared" si="1"/>
        <v>0</v>
      </c>
      <c r="K54" s="658"/>
    </row>
    <row r="55" spans="1:11" ht="15.75" x14ac:dyDescent="0.25">
      <c r="A55" s="373" t="s">
        <v>61</v>
      </c>
      <c r="B55" s="324"/>
      <c r="C55" s="328" t="s">
        <v>183</v>
      </c>
      <c r="D55" s="451" t="s">
        <v>36</v>
      </c>
      <c r="E55" s="642">
        <v>2</v>
      </c>
      <c r="F55" s="657"/>
      <c r="G55" s="639"/>
      <c r="H55" s="639"/>
      <c r="I55" s="640">
        <f t="shared" si="0"/>
        <v>0</v>
      </c>
      <c r="J55" s="640">
        <f t="shared" si="1"/>
        <v>0</v>
      </c>
      <c r="K55" s="658"/>
    </row>
    <row r="56" spans="1:11" x14ac:dyDescent="0.2">
      <c r="A56" s="377" t="s">
        <v>62</v>
      </c>
      <c r="B56" s="329"/>
      <c r="C56" s="330" t="s">
        <v>184</v>
      </c>
      <c r="D56" s="461" t="s">
        <v>36</v>
      </c>
      <c r="E56" s="644">
        <v>2</v>
      </c>
      <c r="F56" s="657"/>
      <c r="G56" s="639"/>
      <c r="H56" s="639">
        <f t="shared" si="2"/>
        <v>0</v>
      </c>
      <c r="I56" s="639"/>
      <c r="J56" s="639">
        <f t="shared" si="1"/>
        <v>0</v>
      </c>
      <c r="K56" s="658"/>
    </row>
    <row r="57" spans="1:11" ht="45" x14ac:dyDescent="0.2">
      <c r="A57" s="377" t="s">
        <v>63</v>
      </c>
      <c r="B57" s="329"/>
      <c r="C57" s="330" t="s">
        <v>557</v>
      </c>
      <c r="D57" s="461" t="s">
        <v>25</v>
      </c>
      <c r="E57" s="644">
        <v>1.85</v>
      </c>
      <c r="F57" s="657"/>
      <c r="G57" s="639"/>
      <c r="H57" s="639">
        <f t="shared" si="2"/>
        <v>0</v>
      </c>
      <c r="I57" s="639"/>
      <c r="J57" s="639">
        <f t="shared" si="1"/>
        <v>0</v>
      </c>
      <c r="K57" s="658"/>
    </row>
    <row r="58" spans="1:11" x14ac:dyDescent="0.2">
      <c r="A58" s="377" t="s">
        <v>212</v>
      </c>
      <c r="B58" s="329"/>
      <c r="C58" s="330" t="s">
        <v>185</v>
      </c>
      <c r="D58" s="461" t="s">
        <v>36</v>
      </c>
      <c r="E58" s="644">
        <v>2</v>
      </c>
      <c r="F58" s="657"/>
      <c r="G58" s="639"/>
      <c r="H58" s="639">
        <f t="shared" si="2"/>
        <v>0</v>
      </c>
      <c r="I58" s="639"/>
      <c r="J58" s="639">
        <f t="shared" si="1"/>
        <v>0</v>
      </c>
      <c r="K58" s="658"/>
    </row>
    <row r="59" spans="1:11" ht="15.75" x14ac:dyDescent="0.25">
      <c r="A59" s="373" t="s">
        <v>64</v>
      </c>
      <c r="B59" s="324"/>
      <c r="C59" s="328" t="s">
        <v>55</v>
      </c>
      <c r="D59" s="451" t="s">
        <v>36</v>
      </c>
      <c r="E59" s="642">
        <v>12</v>
      </c>
      <c r="F59" s="657"/>
      <c r="G59" s="639"/>
      <c r="H59" s="639"/>
      <c r="I59" s="640">
        <f t="shared" si="0"/>
        <v>0</v>
      </c>
      <c r="J59" s="640">
        <f t="shared" si="1"/>
        <v>0</v>
      </c>
      <c r="K59" s="658"/>
    </row>
    <row r="60" spans="1:11" x14ac:dyDescent="0.2">
      <c r="A60" s="377" t="s">
        <v>357</v>
      </c>
      <c r="B60" s="329"/>
      <c r="C60" s="330" t="s">
        <v>150</v>
      </c>
      <c r="D60" s="461" t="s">
        <v>36</v>
      </c>
      <c r="E60" s="644">
        <v>11</v>
      </c>
      <c r="F60" s="657"/>
      <c r="G60" s="639"/>
      <c r="H60" s="639">
        <f t="shared" si="2"/>
        <v>0</v>
      </c>
      <c r="I60" s="639"/>
      <c r="J60" s="639">
        <f t="shared" si="1"/>
        <v>0</v>
      </c>
      <c r="K60" s="658"/>
    </row>
    <row r="61" spans="1:11" x14ac:dyDescent="0.2">
      <c r="A61" s="377" t="s">
        <v>359</v>
      </c>
      <c r="B61" s="459"/>
      <c r="C61" s="330" t="s">
        <v>151</v>
      </c>
      <c r="D61" s="461" t="s">
        <v>36</v>
      </c>
      <c r="E61" s="644">
        <v>1</v>
      </c>
      <c r="F61" s="657"/>
      <c r="G61" s="639"/>
      <c r="H61" s="639">
        <f t="shared" si="2"/>
        <v>0</v>
      </c>
      <c r="I61" s="639"/>
      <c r="J61" s="639">
        <f t="shared" si="1"/>
        <v>0</v>
      </c>
      <c r="K61" s="658"/>
    </row>
    <row r="62" spans="1:11" ht="15.75" x14ac:dyDescent="0.25">
      <c r="A62" s="373" t="s">
        <v>106</v>
      </c>
      <c r="B62" s="324"/>
      <c r="C62" s="328" t="s">
        <v>152</v>
      </c>
      <c r="D62" s="451" t="s">
        <v>25</v>
      </c>
      <c r="E62" s="648">
        <f>E23+E27</f>
        <v>157.1</v>
      </c>
      <c r="F62" s="657"/>
      <c r="G62" s="639"/>
      <c r="H62" s="639"/>
      <c r="I62" s="640">
        <f t="shared" si="0"/>
        <v>0</v>
      </c>
      <c r="J62" s="640">
        <f t="shared" si="1"/>
        <v>0</v>
      </c>
      <c r="K62" s="658"/>
    </row>
    <row r="63" spans="1:11" ht="15.75" x14ac:dyDescent="0.25">
      <c r="A63" s="373" t="s">
        <v>108</v>
      </c>
      <c r="B63" s="324"/>
      <c r="C63" s="328" t="s">
        <v>384</v>
      </c>
      <c r="D63" s="451" t="s">
        <v>25</v>
      </c>
      <c r="E63" s="648">
        <f>E29</f>
        <v>27.5</v>
      </c>
      <c r="F63" s="657"/>
      <c r="G63" s="639"/>
      <c r="H63" s="639"/>
      <c r="I63" s="640">
        <f t="shared" si="0"/>
        <v>0</v>
      </c>
      <c r="J63" s="640">
        <f t="shared" si="1"/>
        <v>0</v>
      </c>
      <c r="K63" s="658"/>
    </row>
    <row r="64" spans="1:11" ht="28.5" x14ac:dyDescent="0.25">
      <c r="A64" s="373" t="s">
        <v>111</v>
      </c>
      <c r="B64" s="325"/>
      <c r="C64" s="328" t="s">
        <v>153</v>
      </c>
      <c r="D64" s="451" t="s">
        <v>25</v>
      </c>
      <c r="E64" s="648">
        <v>157.1</v>
      </c>
      <c r="F64" s="657"/>
      <c r="G64" s="639"/>
      <c r="H64" s="639"/>
      <c r="I64" s="640">
        <f t="shared" si="0"/>
        <v>0</v>
      </c>
      <c r="J64" s="640">
        <f t="shared" si="1"/>
        <v>0</v>
      </c>
      <c r="K64" s="658"/>
    </row>
    <row r="65" spans="1:11" ht="29.25" thickBot="1" x14ac:dyDescent="0.3">
      <c r="A65" s="522" t="s">
        <v>113</v>
      </c>
      <c r="B65" s="523"/>
      <c r="C65" s="402" t="s">
        <v>391</v>
      </c>
      <c r="D65" s="6" t="s">
        <v>25</v>
      </c>
      <c r="E65" s="651">
        <f>E63</f>
        <v>27.5</v>
      </c>
      <c r="F65" s="657"/>
      <c r="G65" s="639"/>
      <c r="H65" s="639"/>
      <c r="I65" s="640">
        <f t="shared" si="0"/>
        <v>0</v>
      </c>
      <c r="J65" s="640">
        <f t="shared" si="1"/>
        <v>0</v>
      </c>
      <c r="K65" s="658"/>
    </row>
    <row r="66" spans="1:11" ht="22.5" customHeight="1" x14ac:dyDescent="0.25">
      <c r="A66" s="505"/>
      <c r="B66" s="506" t="s">
        <v>256</v>
      </c>
      <c r="C66" s="503" t="s">
        <v>233</v>
      </c>
      <c r="D66" s="534"/>
      <c r="E66" s="646"/>
      <c r="F66" s="656"/>
      <c r="G66" s="518"/>
      <c r="H66" s="518"/>
      <c r="I66" s="518"/>
      <c r="J66" s="518"/>
      <c r="K66" s="504"/>
    </row>
    <row r="67" spans="1:11" ht="15.75" x14ac:dyDescent="0.25">
      <c r="A67" s="373" t="s">
        <v>263</v>
      </c>
      <c r="B67" s="325"/>
      <c r="C67" s="456" t="s">
        <v>234</v>
      </c>
      <c r="D67" s="451"/>
      <c r="E67" s="642"/>
      <c r="F67" s="657"/>
      <c r="G67" s="639"/>
      <c r="H67" s="639"/>
      <c r="I67" s="640">
        <f t="shared" si="0"/>
        <v>0</v>
      </c>
      <c r="J67" s="640">
        <f t="shared" si="1"/>
        <v>0</v>
      </c>
      <c r="K67" s="658"/>
    </row>
    <row r="68" spans="1:11" ht="15.75" x14ac:dyDescent="0.25">
      <c r="A68" s="373" t="s">
        <v>395</v>
      </c>
      <c r="B68" s="325"/>
      <c r="C68" s="456" t="s">
        <v>236</v>
      </c>
      <c r="D68" s="451" t="s">
        <v>27</v>
      </c>
      <c r="E68" s="642">
        <v>9</v>
      </c>
      <c r="F68" s="657"/>
      <c r="G68" s="639"/>
      <c r="H68" s="639"/>
      <c r="I68" s="640">
        <f t="shared" si="0"/>
        <v>0</v>
      </c>
      <c r="J68" s="640">
        <f t="shared" si="1"/>
        <v>0</v>
      </c>
      <c r="K68" s="658"/>
    </row>
    <row r="69" spans="1:11" ht="17.25" customHeight="1" x14ac:dyDescent="0.2">
      <c r="A69" s="377" t="s">
        <v>396</v>
      </c>
      <c r="B69" s="329"/>
      <c r="C69" s="330" t="s">
        <v>235</v>
      </c>
      <c r="D69" s="461" t="s">
        <v>27</v>
      </c>
      <c r="E69" s="644">
        <v>9.27</v>
      </c>
      <c r="F69" s="657"/>
      <c r="G69" s="639"/>
      <c r="H69" s="639">
        <f t="shared" ref="H69:H118" si="3">F69*E69</f>
        <v>0</v>
      </c>
      <c r="I69" s="639"/>
      <c r="J69" s="639">
        <f t="shared" ref="J69:J121" si="4">H69+I69</f>
        <v>0</v>
      </c>
      <c r="K69" s="658"/>
    </row>
    <row r="70" spans="1:11" ht="15.75" x14ac:dyDescent="0.25">
      <c r="A70" s="373" t="s">
        <v>397</v>
      </c>
      <c r="B70" s="325"/>
      <c r="C70" s="456" t="s">
        <v>237</v>
      </c>
      <c r="D70" s="451" t="s">
        <v>16</v>
      </c>
      <c r="E70" s="642">
        <v>1.8</v>
      </c>
      <c r="F70" s="657"/>
      <c r="G70" s="639"/>
      <c r="H70" s="639"/>
      <c r="I70" s="640">
        <f t="shared" ref="I70:I121" si="5">E70*G70</f>
        <v>0</v>
      </c>
      <c r="J70" s="640">
        <f t="shared" si="4"/>
        <v>0</v>
      </c>
      <c r="K70" s="658"/>
    </row>
    <row r="71" spans="1:11" ht="16.5" customHeight="1" x14ac:dyDescent="0.2">
      <c r="A71" s="377" t="s">
        <v>398</v>
      </c>
      <c r="B71" s="329"/>
      <c r="C71" s="330" t="s">
        <v>241</v>
      </c>
      <c r="D71" s="461" t="s">
        <v>27</v>
      </c>
      <c r="E71" s="644">
        <v>2.25</v>
      </c>
      <c r="F71" s="657"/>
      <c r="G71" s="639"/>
      <c r="H71" s="639">
        <f t="shared" si="3"/>
        <v>0</v>
      </c>
      <c r="I71" s="639"/>
      <c r="J71" s="639">
        <f t="shared" si="4"/>
        <v>0</v>
      </c>
      <c r="K71" s="658"/>
    </row>
    <row r="72" spans="1:11" ht="15.75" x14ac:dyDescent="0.25">
      <c r="A72" s="373" t="s">
        <v>399</v>
      </c>
      <c r="B72" s="325"/>
      <c r="C72" s="456" t="s">
        <v>260</v>
      </c>
      <c r="D72" s="451" t="s">
        <v>27</v>
      </c>
      <c r="E72" s="642">
        <v>8</v>
      </c>
      <c r="F72" s="657"/>
      <c r="G72" s="639"/>
      <c r="H72" s="639"/>
      <c r="I72" s="640">
        <f t="shared" si="5"/>
        <v>0</v>
      </c>
      <c r="J72" s="640">
        <f t="shared" si="4"/>
        <v>0</v>
      </c>
      <c r="K72" s="658"/>
    </row>
    <row r="73" spans="1:11" ht="18" customHeight="1" x14ac:dyDescent="0.2">
      <c r="A73" s="377" t="s">
        <v>400</v>
      </c>
      <c r="B73" s="329"/>
      <c r="C73" s="330" t="s">
        <v>258</v>
      </c>
      <c r="D73" s="461" t="s">
        <v>27</v>
      </c>
      <c r="E73" s="644">
        <v>8.8000000000000007</v>
      </c>
      <c r="F73" s="657"/>
      <c r="G73" s="639"/>
      <c r="H73" s="639">
        <f t="shared" si="3"/>
        <v>0</v>
      </c>
      <c r="I73" s="639"/>
      <c r="J73" s="639">
        <f t="shared" si="4"/>
        <v>0</v>
      </c>
      <c r="K73" s="658"/>
    </row>
    <row r="74" spans="1:11" ht="15.75" x14ac:dyDescent="0.25">
      <c r="A74" s="373" t="s">
        <v>401</v>
      </c>
      <c r="B74" s="325"/>
      <c r="C74" s="456" t="s">
        <v>358</v>
      </c>
      <c r="D74" s="451" t="s">
        <v>16</v>
      </c>
      <c r="E74" s="642">
        <v>0.7</v>
      </c>
      <c r="F74" s="657"/>
      <c r="G74" s="639"/>
      <c r="H74" s="639"/>
      <c r="I74" s="640">
        <f t="shared" si="5"/>
        <v>0</v>
      </c>
      <c r="J74" s="640">
        <f t="shared" si="4"/>
        <v>0</v>
      </c>
      <c r="K74" s="658"/>
    </row>
    <row r="75" spans="1:11" ht="15.75" customHeight="1" x14ac:dyDescent="0.2">
      <c r="A75" s="377" t="s">
        <v>402</v>
      </c>
      <c r="B75" s="329"/>
      <c r="C75" s="330" t="s">
        <v>239</v>
      </c>
      <c r="D75" s="461" t="s">
        <v>16</v>
      </c>
      <c r="E75" s="644">
        <v>0.7</v>
      </c>
      <c r="F75" s="657"/>
      <c r="G75" s="639"/>
      <c r="H75" s="639">
        <f t="shared" si="3"/>
        <v>0</v>
      </c>
      <c r="I75" s="639"/>
      <c r="J75" s="639">
        <f t="shared" si="4"/>
        <v>0</v>
      </c>
      <c r="K75" s="658"/>
    </row>
    <row r="76" spans="1:11" ht="15.75" x14ac:dyDescent="0.25">
      <c r="A76" s="373" t="s">
        <v>403</v>
      </c>
      <c r="B76" s="325"/>
      <c r="C76" s="456" t="s">
        <v>238</v>
      </c>
      <c r="D76" s="451" t="s">
        <v>16</v>
      </c>
      <c r="E76" s="642">
        <v>1.728</v>
      </c>
      <c r="F76" s="657"/>
      <c r="G76" s="639"/>
      <c r="H76" s="639"/>
      <c r="I76" s="640">
        <f t="shared" si="5"/>
        <v>0</v>
      </c>
      <c r="J76" s="640">
        <f t="shared" si="4"/>
        <v>0</v>
      </c>
      <c r="K76" s="658"/>
    </row>
    <row r="77" spans="1:11" ht="14.25" customHeight="1" x14ac:dyDescent="0.2">
      <c r="A77" s="377" t="s">
        <v>404</v>
      </c>
      <c r="B77" s="329"/>
      <c r="C77" s="330" t="s">
        <v>346</v>
      </c>
      <c r="D77" s="461" t="s">
        <v>16</v>
      </c>
      <c r="E77" s="652">
        <v>1.7539199999999997</v>
      </c>
      <c r="F77" s="657"/>
      <c r="G77" s="639"/>
      <c r="H77" s="639">
        <f t="shared" si="3"/>
        <v>0</v>
      </c>
      <c r="I77" s="639"/>
      <c r="J77" s="639">
        <f t="shared" si="4"/>
        <v>0</v>
      </c>
      <c r="K77" s="658"/>
    </row>
    <row r="78" spans="1:11" ht="17.25" customHeight="1" x14ac:dyDescent="0.2">
      <c r="A78" s="377" t="s">
        <v>405</v>
      </c>
      <c r="B78" s="329"/>
      <c r="C78" s="330" t="s">
        <v>240</v>
      </c>
      <c r="D78" s="461" t="s">
        <v>41</v>
      </c>
      <c r="E78" s="644">
        <v>142.68</v>
      </c>
      <c r="F78" s="657"/>
      <c r="G78" s="639"/>
      <c r="H78" s="639">
        <f t="shared" si="3"/>
        <v>0</v>
      </c>
      <c r="I78" s="639"/>
      <c r="J78" s="639">
        <f t="shared" si="4"/>
        <v>0</v>
      </c>
      <c r="K78" s="658"/>
    </row>
    <row r="79" spans="1:11" ht="15.75" x14ac:dyDescent="0.25">
      <c r="A79" s="373" t="s">
        <v>264</v>
      </c>
      <c r="B79" s="325"/>
      <c r="C79" s="456" t="s">
        <v>129</v>
      </c>
      <c r="D79" s="451" t="s">
        <v>36</v>
      </c>
      <c r="E79" s="642">
        <v>1</v>
      </c>
      <c r="F79" s="657"/>
      <c r="G79" s="639"/>
      <c r="H79" s="639"/>
      <c r="I79" s="640">
        <f t="shared" si="5"/>
        <v>0</v>
      </c>
      <c r="J79" s="640">
        <f t="shared" si="4"/>
        <v>0</v>
      </c>
      <c r="K79" s="658"/>
    </row>
    <row r="80" spans="1:11" x14ac:dyDescent="0.2">
      <c r="A80" s="373" t="s">
        <v>406</v>
      </c>
      <c r="B80" s="459"/>
      <c r="C80" s="460" t="s">
        <v>279</v>
      </c>
      <c r="D80" s="461" t="s">
        <v>36</v>
      </c>
      <c r="E80" s="650">
        <v>1</v>
      </c>
      <c r="F80" s="657"/>
      <c r="G80" s="639"/>
      <c r="H80" s="639">
        <f t="shared" si="3"/>
        <v>0</v>
      </c>
      <c r="I80" s="639"/>
      <c r="J80" s="639">
        <f t="shared" si="4"/>
        <v>0</v>
      </c>
      <c r="K80" s="658"/>
    </row>
    <row r="81" spans="1:11" ht="15.75" x14ac:dyDescent="0.25">
      <c r="A81" s="373" t="s">
        <v>265</v>
      </c>
      <c r="B81" s="325"/>
      <c r="C81" s="456" t="s">
        <v>242</v>
      </c>
      <c r="D81" s="451"/>
      <c r="E81" s="642"/>
      <c r="F81" s="657"/>
      <c r="G81" s="639"/>
      <c r="H81" s="639"/>
      <c r="I81" s="640">
        <f t="shared" si="5"/>
        <v>0</v>
      </c>
      <c r="J81" s="640">
        <f t="shared" si="4"/>
        <v>0</v>
      </c>
      <c r="K81" s="658"/>
    </row>
    <row r="82" spans="1:11" ht="15.75" x14ac:dyDescent="0.25">
      <c r="A82" s="373" t="s">
        <v>266</v>
      </c>
      <c r="B82" s="325"/>
      <c r="C82" s="456" t="s">
        <v>236</v>
      </c>
      <c r="D82" s="451" t="s">
        <v>27</v>
      </c>
      <c r="E82" s="642">
        <v>9</v>
      </c>
      <c r="F82" s="657"/>
      <c r="G82" s="639"/>
      <c r="H82" s="639"/>
      <c r="I82" s="640">
        <f t="shared" si="5"/>
        <v>0</v>
      </c>
      <c r="J82" s="640">
        <f t="shared" si="4"/>
        <v>0</v>
      </c>
      <c r="K82" s="658"/>
    </row>
    <row r="83" spans="1:11" ht="16.5" customHeight="1" x14ac:dyDescent="0.2">
      <c r="A83" s="377" t="s">
        <v>407</v>
      </c>
      <c r="B83" s="329"/>
      <c r="C83" s="330" t="s">
        <v>235</v>
      </c>
      <c r="D83" s="461" t="s">
        <v>27</v>
      </c>
      <c r="E83" s="644">
        <v>9.27</v>
      </c>
      <c r="F83" s="657"/>
      <c r="G83" s="639"/>
      <c r="H83" s="639">
        <f t="shared" si="3"/>
        <v>0</v>
      </c>
      <c r="I83" s="639"/>
      <c r="J83" s="639">
        <f t="shared" si="4"/>
        <v>0</v>
      </c>
      <c r="K83" s="658"/>
    </row>
    <row r="84" spans="1:11" ht="15.75" x14ac:dyDescent="0.25">
      <c r="A84" s="373" t="s">
        <v>408</v>
      </c>
      <c r="B84" s="325"/>
      <c r="C84" s="456" t="s">
        <v>243</v>
      </c>
      <c r="D84" s="451" t="s">
        <v>16</v>
      </c>
      <c r="E84" s="642">
        <v>1.8</v>
      </c>
      <c r="F84" s="657"/>
      <c r="G84" s="639"/>
      <c r="H84" s="639"/>
      <c r="I84" s="640">
        <f t="shared" si="5"/>
        <v>0</v>
      </c>
      <c r="J84" s="640">
        <f t="shared" si="4"/>
        <v>0</v>
      </c>
      <c r="K84" s="658"/>
    </row>
    <row r="85" spans="1:11" ht="15.75" customHeight="1" x14ac:dyDescent="0.2">
      <c r="A85" s="377" t="s">
        <v>409</v>
      </c>
      <c r="B85" s="329"/>
      <c r="C85" s="330" t="s">
        <v>244</v>
      </c>
      <c r="D85" s="461" t="s">
        <v>16</v>
      </c>
      <c r="E85" s="644">
        <v>1.9800000000000002</v>
      </c>
      <c r="F85" s="657"/>
      <c r="G85" s="639"/>
      <c r="H85" s="639">
        <f t="shared" si="3"/>
        <v>0</v>
      </c>
      <c r="I85" s="639"/>
      <c r="J85" s="639">
        <f t="shared" si="4"/>
        <v>0</v>
      </c>
      <c r="K85" s="658"/>
    </row>
    <row r="86" spans="1:11" ht="15.75" x14ac:dyDescent="0.25">
      <c r="A86" s="373" t="s">
        <v>410</v>
      </c>
      <c r="B86" s="325"/>
      <c r="C86" s="456" t="s">
        <v>260</v>
      </c>
      <c r="D86" s="451" t="s">
        <v>27</v>
      </c>
      <c r="E86" s="642">
        <v>8</v>
      </c>
      <c r="F86" s="657"/>
      <c r="G86" s="639"/>
      <c r="H86" s="639"/>
      <c r="I86" s="640">
        <f t="shared" si="5"/>
        <v>0</v>
      </c>
      <c r="J86" s="640">
        <f t="shared" si="4"/>
        <v>0</v>
      </c>
      <c r="K86" s="658"/>
    </row>
    <row r="87" spans="1:11" ht="17.25" customHeight="1" x14ac:dyDescent="0.2">
      <c r="A87" s="377" t="s">
        <v>411</v>
      </c>
      <c r="B87" s="329"/>
      <c r="C87" s="330" t="s">
        <v>258</v>
      </c>
      <c r="D87" s="461" t="s">
        <v>27</v>
      </c>
      <c r="E87" s="644">
        <v>8.8000000000000007</v>
      </c>
      <c r="F87" s="657"/>
      <c r="G87" s="639"/>
      <c r="H87" s="639">
        <f t="shared" si="3"/>
        <v>0</v>
      </c>
      <c r="I87" s="639"/>
      <c r="J87" s="639">
        <f t="shared" si="4"/>
        <v>0</v>
      </c>
      <c r="K87" s="658"/>
    </row>
    <row r="88" spans="1:11" ht="15.75" x14ac:dyDescent="0.25">
      <c r="A88" s="373" t="s">
        <v>412</v>
      </c>
      <c r="B88" s="325"/>
      <c r="C88" s="456" t="s">
        <v>245</v>
      </c>
      <c r="D88" s="451" t="s">
        <v>16</v>
      </c>
      <c r="E88" s="642">
        <v>1.1519999999999999</v>
      </c>
      <c r="F88" s="657"/>
      <c r="G88" s="639"/>
      <c r="H88" s="639"/>
      <c r="I88" s="640">
        <f t="shared" si="5"/>
        <v>0</v>
      </c>
      <c r="J88" s="640">
        <f t="shared" si="4"/>
        <v>0</v>
      </c>
      <c r="K88" s="658"/>
    </row>
    <row r="89" spans="1:11" ht="17.25" customHeight="1" x14ac:dyDescent="0.2">
      <c r="A89" s="377" t="s">
        <v>413</v>
      </c>
      <c r="B89" s="329"/>
      <c r="C89" s="330" t="s">
        <v>346</v>
      </c>
      <c r="D89" s="461" t="s">
        <v>16</v>
      </c>
      <c r="E89" s="652">
        <v>1.1692799999999999</v>
      </c>
      <c r="F89" s="657"/>
      <c r="G89" s="639"/>
      <c r="H89" s="639">
        <f t="shared" si="3"/>
        <v>0</v>
      </c>
      <c r="I89" s="639"/>
      <c r="J89" s="639">
        <f t="shared" si="4"/>
        <v>0</v>
      </c>
      <c r="K89" s="658"/>
    </row>
    <row r="90" spans="1:11" ht="17.25" customHeight="1" thickBot="1" x14ac:dyDescent="0.25">
      <c r="A90" s="573" t="s">
        <v>414</v>
      </c>
      <c r="B90" s="574"/>
      <c r="C90" s="575" t="s">
        <v>240</v>
      </c>
      <c r="D90" s="576" t="s">
        <v>41</v>
      </c>
      <c r="E90" s="653">
        <v>136.68</v>
      </c>
      <c r="F90" s="657"/>
      <c r="G90" s="639"/>
      <c r="H90" s="639">
        <f t="shared" si="3"/>
        <v>0</v>
      </c>
      <c r="I90" s="639"/>
      <c r="J90" s="639">
        <f t="shared" si="4"/>
        <v>0</v>
      </c>
      <c r="K90" s="658"/>
    </row>
    <row r="91" spans="1:11" ht="29.25" customHeight="1" x14ac:dyDescent="0.25">
      <c r="A91" s="508"/>
      <c r="B91" s="509" t="s">
        <v>257</v>
      </c>
      <c r="C91" s="510" t="s">
        <v>155</v>
      </c>
      <c r="D91" s="510"/>
      <c r="E91" s="654"/>
      <c r="F91" s="656"/>
      <c r="G91" s="518"/>
      <c r="H91" s="518"/>
      <c r="I91" s="518"/>
      <c r="J91" s="518"/>
      <c r="K91" s="504"/>
    </row>
    <row r="92" spans="1:11" ht="28.5" x14ac:dyDescent="0.25">
      <c r="A92" s="373" t="s">
        <v>267</v>
      </c>
      <c r="B92" s="325"/>
      <c r="C92" s="466" t="s">
        <v>71</v>
      </c>
      <c r="D92" s="450" t="s">
        <v>16</v>
      </c>
      <c r="E92" s="642">
        <v>95.84</v>
      </c>
      <c r="F92" s="657"/>
      <c r="G92" s="639"/>
      <c r="H92" s="639"/>
      <c r="I92" s="640">
        <f t="shared" si="5"/>
        <v>0</v>
      </c>
      <c r="J92" s="640">
        <f t="shared" si="4"/>
        <v>0</v>
      </c>
      <c r="K92" s="658"/>
    </row>
    <row r="93" spans="1:11" ht="28.5" x14ac:dyDescent="0.25">
      <c r="A93" s="373" t="s">
        <v>268</v>
      </c>
      <c r="B93" s="325"/>
      <c r="C93" s="466" t="s">
        <v>72</v>
      </c>
      <c r="D93" s="450" t="s">
        <v>16</v>
      </c>
      <c r="E93" s="642">
        <v>2.96</v>
      </c>
      <c r="F93" s="657"/>
      <c r="G93" s="639"/>
      <c r="H93" s="639"/>
      <c r="I93" s="640">
        <f t="shared" si="5"/>
        <v>0</v>
      </c>
      <c r="J93" s="640">
        <f t="shared" si="4"/>
        <v>0</v>
      </c>
      <c r="K93" s="658"/>
    </row>
    <row r="94" spans="1:11" ht="15.75" x14ac:dyDescent="0.25">
      <c r="A94" s="373" t="s">
        <v>269</v>
      </c>
      <c r="B94" s="325"/>
      <c r="C94" s="466" t="s">
        <v>347</v>
      </c>
      <c r="D94" s="450" t="s">
        <v>36</v>
      </c>
      <c r="E94" s="642">
        <v>1</v>
      </c>
      <c r="F94" s="657"/>
      <c r="G94" s="639"/>
      <c r="H94" s="639"/>
      <c r="I94" s="640">
        <f t="shared" si="5"/>
        <v>0</v>
      </c>
      <c r="J94" s="640">
        <f t="shared" si="4"/>
        <v>0</v>
      </c>
      <c r="K94" s="658"/>
    </row>
    <row r="95" spans="1:11" ht="15.75" x14ac:dyDescent="0.25">
      <c r="A95" s="373" t="s">
        <v>271</v>
      </c>
      <c r="B95" s="325"/>
      <c r="C95" s="466" t="s">
        <v>348</v>
      </c>
      <c r="D95" s="450" t="s">
        <v>25</v>
      </c>
      <c r="E95" s="642">
        <v>28.9</v>
      </c>
      <c r="F95" s="657"/>
      <c r="G95" s="639"/>
      <c r="H95" s="639"/>
      <c r="I95" s="640">
        <f t="shared" si="5"/>
        <v>0</v>
      </c>
      <c r="J95" s="640">
        <f t="shared" si="4"/>
        <v>0</v>
      </c>
      <c r="K95" s="658"/>
    </row>
    <row r="96" spans="1:11" ht="15.75" x14ac:dyDescent="0.25">
      <c r="A96" s="373" t="s">
        <v>272</v>
      </c>
      <c r="B96" s="325"/>
      <c r="C96" s="466" t="s">
        <v>349</v>
      </c>
      <c r="D96" s="450" t="s">
        <v>25</v>
      </c>
      <c r="E96" s="642">
        <v>28.9</v>
      </c>
      <c r="F96" s="657"/>
      <c r="G96" s="639"/>
      <c r="H96" s="639"/>
      <c r="I96" s="640">
        <f t="shared" si="5"/>
        <v>0</v>
      </c>
      <c r="J96" s="640">
        <f t="shared" si="4"/>
        <v>0</v>
      </c>
      <c r="K96" s="658"/>
    </row>
    <row r="97" spans="1:11" ht="15.75" x14ac:dyDescent="0.25">
      <c r="A97" s="373" t="s">
        <v>275</v>
      </c>
      <c r="B97" s="325"/>
      <c r="C97" s="466" t="s">
        <v>354</v>
      </c>
      <c r="D97" s="450" t="s">
        <v>25</v>
      </c>
      <c r="E97" s="642">
        <v>28.9</v>
      </c>
      <c r="F97" s="657"/>
      <c r="G97" s="639"/>
      <c r="H97" s="639"/>
      <c r="I97" s="640">
        <f t="shared" si="5"/>
        <v>0</v>
      </c>
      <c r="J97" s="640">
        <f t="shared" si="4"/>
        <v>0</v>
      </c>
      <c r="K97" s="658"/>
    </row>
    <row r="98" spans="1:11" ht="15.75" x14ac:dyDescent="0.25">
      <c r="A98" s="373" t="s">
        <v>276</v>
      </c>
      <c r="B98" s="325"/>
      <c r="C98" s="466" t="s">
        <v>353</v>
      </c>
      <c r="D98" s="450" t="s">
        <v>25</v>
      </c>
      <c r="E98" s="642">
        <v>28.9</v>
      </c>
      <c r="F98" s="657"/>
      <c r="G98" s="639"/>
      <c r="H98" s="639"/>
      <c r="I98" s="640">
        <f t="shared" si="5"/>
        <v>0</v>
      </c>
      <c r="J98" s="640">
        <f t="shared" si="4"/>
        <v>0</v>
      </c>
      <c r="K98" s="658"/>
    </row>
    <row r="99" spans="1:11" ht="15.75" x14ac:dyDescent="0.25">
      <c r="A99" s="373" t="s">
        <v>373</v>
      </c>
      <c r="B99" s="325"/>
      <c r="C99" s="466" t="s">
        <v>352</v>
      </c>
      <c r="D99" s="450" t="s">
        <v>25</v>
      </c>
      <c r="E99" s="642">
        <v>28.9</v>
      </c>
      <c r="F99" s="657"/>
      <c r="G99" s="639"/>
      <c r="H99" s="639"/>
      <c r="I99" s="640">
        <f t="shared" si="5"/>
        <v>0</v>
      </c>
      <c r="J99" s="640">
        <f t="shared" si="4"/>
        <v>0</v>
      </c>
      <c r="K99" s="658"/>
    </row>
    <row r="100" spans="1:11" ht="15.75" x14ac:dyDescent="0.25">
      <c r="A100" s="373" t="s">
        <v>277</v>
      </c>
      <c r="B100" s="325"/>
      <c r="C100" s="466" t="s">
        <v>351</v>
      </c>
      <c r="D100" s="450" t="s">
        <v>25</v>
      </c>
      <c r="E100" s="642">
        <v>28.9</v>
      </c>
      <c r="F100" s="657"/>
      <c r="G100" s="639"/>
      <c r="H100" s="639"/>
      <c r="I100" s="640">
        <f t="shared" si="5"/>
        <v>0</v>
      </c>
      <c r="J100" s="640">
        <f t="shared" si="4"/>
        <v>0</v>
      </c>
      <c r="K100" s="658"/>
    </row>
    <row r="101" spans="1:11" ht="15.75" x14ac:dyDescent="0.25">
      <c r="A101" s="373" t="s">
        <v>374</v>
      </c>
      <c r="B101" s="325"/>
      <c r="C101" s="466" t="s">
        <v>350</v>
      </c>
      <c r="D101" s="450" t="s">
        <v>25</v>
      </c>
      <c r="E101" s="642">
        <v>28.9</v>
      </c>
      <c r="F101" s="657"/>
      <c r="G101" s="639"/>
      <c r="H101" s="639"/>
      <c r="I101" s="640">
        <f t="shared" si="5"/>
        <v>0</v>
      </c>
      <c r="J101" s="640">
        <f t="shared" si="4"/>
        <v>0</v>
      </c>
      <c r="K101" s="658"/>
    </row>
    <row r="102" spans="1:11" ht="15.75" x14ac:dyDescent="0.25">
      <c r="A102" s="373" t="s">
        <v>375</v>
      </c>
      <c r="B102" s="325"/>
      <c r="C102" s="466" t="s">
        <v>355</v>
      </c>
      <c r="D102" s="450" t="s">
        <v>25</v>
      </c>
      <c r="E102" s="642">
        <v>28.9</v>
      </c>
      <c r="F102" s="657"/>
      <c r="G102" s="639"/>
      <c r="H102" s="639"/>
      <c r="I102" s="640">
        <f t="shared" si="5"/>
        <v>0</v>
      </c>
      <c r="J102" s="640">
        <f t="shared" si="4"/>
        <v>0</v>
      </c>
      <c r="K102" s="658"/>
    </row>
    <row r="103" spans="1:11" x14ac:dyDescent="0.2">
      <c r="A103" s="377" t="s">
        <v>386</v>
      </c>
      <c r="B103" s="459"/>
      <c r="C103" s="330" t="s">
        <v>586</v>
      </c>
      <c r="D103" s="457" t="s">
        <v>25</v>
      </c>
      <c r="E103" s="644">
        <v>28.9</v>
      </c>
      <c r="F103" s="657"/>
      <c r="G103" s="639"/>
      <c r="H103" s="639">
        <f t="shared" si="3"/>
        <v>0</v>
      </c>
      <c r="I103" s="639"/>
      <c r="J103" s="639">
        <f t="shared" si="4"/>
        <v>0</v>
      </c>
      <c r="K103" s="658"/>
    </row>
    <row r="104" spans="1:11" ht="15.75" x14ac:dyDescent="0.25">
      <c r="A104" s="373" t="s">
        <v>376</v>
      </c>
      <c r="B104" s="325"/>
      <c r="C104" s="466" t="s">
        <v>356</v>
      </c>
      <c r="D104" s="450" t="s">
        <v>36</v>
      </c>
      <c r="E104" s="642">
        <v>1</v>
      </c>
      <c r="F104" s="657"/>
      <c r="G104" s="639"/>
      <c r="H104" s="639"/>
      <c r="I104" s="640">
        <f t="shared" si="5"/>
        <v>0</v>
      </c>
      <c r="J104" s="640">
        <f t="shared" si="4"/>
        <v>0</v>
      </c>
      <c r="K104" s="658"/>
    </row>
    <row r="105" spans="1:11" ht="15.75" x14ac:dyDescent="0.25">
      <c r="A105" s="373" t="s">
        <v>377</v>
      </c>
      <c r="B105" s="325"/>
      <c r="C105" s="466" t="s">
        <v>156</v>
      </c>
      <c r="D105" s="450" t="s">
        <v>16</v>
      </c>
      <c r="E105" s="642">
        <v>9.6</v>
      </c>
      <c r="F105" s="657"/>
      <c r="G105" s="639"/>
      <c r="H105" s="639"/>
      <c r="I105" s="640">
        <f t="shared" si="5"/>
        <v>0</v>
      </c>
      <c r="J105" s="640">
        <f t="shared" si="4"/>
        <v>0</v>
      </c>
      <c r="K105" s="658"/>
    </row>
    <row r="106" spans="1:11" x14ac:dyDescent="0.2">
      <c r="A106" s="377" t="s">
        <v>415</v>
      </c>
      <c r="B106" s="459"/>
      <c r="C106" s="468" t="s">
        <v>109</v>
      </c>
      <c r="D106" s="457" t="s">
        <v>16</v>
      </c>
      <c r="E106" s="644">
        <f>E105*1.1</f>
        <v>10.56</v>
      </c>
      <c r="F106" s="657"/>
      <c r="G106" s="639"/>
      <c r="H106" s="639">
        <f t="shared" si="3"/>
        <v>0</v>
      </c>
      <c r="I106" s="639"/>
      <c r="J106" s="639">
        <f t="shared" si="4"/>
        <v>0</v>
      </c>
      <c r="K106" s="658"/>
    </row>
    <row r="107" spans="1:11" ht="29.25" customHeight="1" x14ac:dyDescent="0.25">
      <c r="A107" s="373" t="s">
        <v>378</v>
      </c>
      <c r="B107" s="325"/>
      <c r="C107" s="466" t="s">
        <v>154</v>
      </c>
      <c r="D107" s="450" t="s">
        <v>16</v>
      </c>
      <c r="E107" s="642">
        <v>88.12</v>
      </c>
      <c r="F107" s="657"/>
      <c r="G107" s="639"/>
      <c r="H107" s="639"/>
      <c r="I107" s="640">
        <f t="shared" si="5"/>
        <v>0</v>
      </c>
      <c r="J107" s="640">
        <f t="shared" si="4"/>
        <v>0</v>
      </c>
      <c r="K107" s="658"/>
    </row>
    <row r="108" spans="1:11" x14ac:dyDescent="0.2">
      <c r="A108" s="377" t="s">
        <v>379</v>
      </c>
      <c r="B108" s="459"/>
      <c r="C108" s="468" t="s">
        <v>109</v>
      </c>
      <c r="D108" s="457" t="s">
        <v>16</v>
      </c>
      <c r="E108" s="644">
        <f>E107*1.1</f>
        <v>96.932000000000016</v>
      </c>
      <c r="F108" s="657"/>
      <c r="G108" s="639"/>
      <c r="H108" s="639">
        <f t="shared" si="3"/>
        <v>0</v>
      </c>
      <c r="I108" s="639"/>
      <c r="J108" s="639">
        <f t="shared" si="4"/>
        <v>0</v>
      </c>
      <c r="K108" s="658"/>
    </row>
    <row r="109" spans="1:11" ht="15.75" x14ac:dyDescent="0.25">
      <c r="A109" s="373" t="s">
        <v>380</v>
      </c>
      <c r="B109" s="325"/>
      <c r="C109" s="466" t="s">
        <v>18</v>
      </c>
      <c r="D109" s="450" t="s">
        <v>16</v>
      </c>
      <c r="E109" s="642">
        <v>88.12</v>
      </c>
      <c r="F109" s="657"/>
      <c r="G109" s="639"/>
      <c r="H109" s="639"/>
      <c r="I109" s="640">
        <f t="shared" si="5"/>
        <v>0</v>
      </c>
      <c r="J109" s="640">
        <f t="shared" si="4"/>
        <v>0</v>
      </c>
      <c r="K109" s="658"/>
    </row>
    <row r="110" spans="1:11" ht="15.75" x14ac:dyDescent="0.25">
      <c r="A110" s="373" t="s">
        <v>381</v>
      </c>
      <c r="B110" s="325"/>
      <c r="C110" s="466" t="s">
        <v>74</v>
      </c>
      <c r="D110" s="450" t="s">
        <v>16</v>
      </c>
      <c r="E110" s="642">
        <v>0.96</v>
      </c>
      <c r="F110" s="657"/>
      <c r="G110" s="639"/>
      <c r="H110" s="639"/>
      <c r="I110" s="640">
        <f t="shared" si="5"/>
        <v>0</v>
      </c>
      <c r="J110" s="640">
        <f t="shared" si="4"/>
        <v>0</v>
      </c>
      <c r="K110" s="658"/>
    </row>
    <row r="111" spans="1:11" x14ac:dyDescent="0.2">
      <c r="A111" s="377" t="s">
        <v>387</v>
      </c>
      <c r="B111" s="459"/>
      <c r="C111" s="330" t="s">
        <v>109</v>
      </c>
      <c r="D111" s="457" t="s">
        <v>16</v>
      </c>
      <c r="E111" s="647">
        <f>E110*1.1</f>
        <v>1.056</v>
      </c>
      <c r="F111" s="657"/>
      <c r="G111" s="639"/>
      <c r="H111" s="639">
        <f t="shared" si="3"/>
        <v>0</v>
      </c>
      <c r="I111" s="639"/>
      <c r="J111" s="639">
        <f t="shared" si="4"/>
        <v>0</v>
      </c>
      <c r="K111" s="658"/>
    </row>
    <row r="112" spans="1:11" ht="29.25" customHeight="1" x14ac:dyDescent="0.25">
      <c r="A112" s="373" t="s">
        <v>382</v>
      </c>
      <c r="B112" s="325"/>
      <c r="C112" s="466" t="s">
        <v>121</v>
      </c>
      <c r="D112" s="450" t="s">
        <v>25</v>
      </c>
      <c r="E112" s="642">
        <v>30.4</v>
      </c>
      <c r="F112" s="657"/>
      <c r="G112" s="639"/>
      <c r="H112" s="639"/>
      <c r="I112" s="640">
        <f t="shared" si="5"/>
        <v>0</v>
      </c>
      <c r="J112" s="640">
        <f t="shared" si="4"/>
        <v>0</v>
      </c>
      <c r="K112" s="658"/>
    </row>
    <row r="113" spans="1:34" x14ac:dyDescent="0.2">
      <c r="A113" s="377" t="s">
        <v>416</v>
      </c>
      <c r="B113" s="459"/>
      <c r="C113" s="468" t="s">
        <v>122</v>
      </c>
      <c r="D113" s="457" t="s">
        <v>36</v>
      </c>
      <c r="E113" s="644">
        <v>5</v>
      </c>
      <c r="F113" s="657"/>
      <c r="G113" s="639"/>
      <c r="H113" s="639">
        <f t="shared" si="3"/>
        <v>0</v>
      </c>
      <c r="I113" s="639"/>
      <c r="J113" s="639">
        <f t="shared" si="4"/>
        <v>0</v>
      </c>
      <c r="K113" s="658"/>
    </row>
    <row r="114" spans="1:34" x14ac:dyDescent="0.2">
      <c r="A114" s="377"/>
      <c r="B114" s="459"/>
      <c r="C114" s="330" t="s">
        <v>123</v>
      </c>
      <c r="D114" s="461" t="s">
        <v>36</v>
      </c>
      <c r="E114" s="644">
        <v>11</v>
      </c>
      <c r="F114" s="657"/>
      <c r="G114" s="639"/>
      <c r="H114" s="639">
        <f t="shared" si="3"/>
        <v>0</v>
      </c>
      <c r="I114" s="639"/>
      <c r="J114" s="639">
        <f t="shared" si="4"/>
        <v>0</v>
      </c>
      <c r="K114" s="658"/>
    </row>
    <row r="115" spans="1:34" ht="30" x14ac:dyDescent="0.2">
      <c r="A115" s="377" t="s">
        <v>417</v>
      </c>
      <c r="B115" s="459"/>
      <c r="C115" s="330" t="s">
        <v>558</v>
      </c>
      <c r="D115" s="457" t="s">
        <v>25</v>
      </c>
      <c r="E115" s="644">
        <v>31.160000000000004</v>
      </c>
      <c r="F115" s="657"/>
      <c r="G115" s="639"/>
      <c r="H115" s="639">
        <f t="shared" si="3"/>
        <v>0</v>
      </c>
      <c r="I115" s="639"/>
      <c r="J115" s="639">
        <f t="shared" si="4"/>
        <v>0</v>
      </c>
      <c r="K115" s="658"/>
    </row>
    <row r="116" spans="1:34" ht="18" customHeight="1" x14ac:dyDescent="0.25">
      <c r="A116" s="373" t="s">
        <v>383</v>
      </c>
      <c r="B116" s="325"/>
      <c r="C116" s="466" t="s">
        <v>53</v>
      </c>
      <c r="D116" s="450" t="s">
        <v>36</v>
      </c>
      <c r="E116" s="642">
        <v>1</v>
      </c>
      <c r="F116" s="657"/>
      <c r="G116" s="639"/>
      <c r="H116" s="639"/>
      <c r="I116" s="640">
        <f t="shared" si="5"/>
        <v>0</v>
      </c>
      <c r="J116" s="640">
        <f t="shared" si="4"/>
        <v>0</v>
      </c>
      <c r="K116" s="658"/>
    </row>
    <row r="117" spans="1:34" ht="15.75" x14ac:dyDescent="0.25">
      <c r="A117" s="373" t="s">
        <v>389</v>
      </c>
      <c r="B117" s="325"/>
      <c r="C117" s="466" t="s">
        <v>85</v>
      </c>
      <c r="D117" s="450" t="s">
        <v>36</v>
      </c>
      <c r="E117" s="642">
        <v>1</v>
      </c>
      <c r="F117" s="657"/>
      <c r="G117" s="639"/>
      <c r="H117" s="639"/>
      <c r="I117" s="640">
        <f t="shared" si="5"/>
        <v>0</v>
      </c>
      <c r="J117" s="640">
        <f t="shared" si="4"/>
        <v>0</v>
      </c>
      <c r="K117" s="658"/>
    </row>
    <row r="118" spans="1:34" x14ac:dyDescent="0.2">
      <c r="A118" s="377" t="s">
        <v>418</v>
      </c>
      <c r="B118" s="459"/>
      <c r="C118" s="468" t="s">
        <v>560</v>
      </c>
      <c r="D118" s="457" t="s">
        <v>36</v>
      </c>
      <c r="E118" s="644">
        <v>1</v>
      </c>
      <c r="F118" s="657"/>
      <c r="G118" s="639"/>
      <c r="H118" s="639">
        <f t="shared" si="3"/>
        <v>0</v>
      </c>
      <c r="I118" s="639"/>
      <c r="J118" s="639">
        <f t="shared" si="4"/>
        <v>0</v>
      </c>
      <c r="K118" s="658"/>
    </row>
    <row r="119" spans="1:34" ht="29.25" customHeight="1" x14ac:dyDescent="0.25">
      <c r="A119" s="373" t="s">
        <v>390</v>
      </c>
      <c r="B119" s="325"/>
      <c r="C119" s="466" t="s">
        <v>128</v>
      </c>
      <c r="D119" s="450" t="s">
        <v>159</v>
      </c>
      <c r="E119" s="642">
        <v>1</v>
      </c>
      <c r="F119" s="657"/>
      <c r="G119" s="639"/>
      <c r="H119" s="639"/>
      <c r="I119" s="640">
        <f t="shared" si="5"/>
        <v>0</v>
      </c>
      <c r="J119" s="640">
        <f t="shared" si="4"/>
        <v>0</v>
      </c>
      <c r="K119" s="658"/>
    </row>
    <row r="120" spans="1:34" ht="15.75" x14ac:dyDescent="0.25">
      <c r="A120" s="373" t="s">
        <v>419</v>
      </c>
      <c r="B120" s="325"/>
      <c r="C120" s="466" t="s">
        <v>152</v>
      </c>
      <c r="D120" s="450" t="s">
        <v>25</v>
      </c>
      <c r="E120" s="642">
        <v>30.4</v>
      </c>
      <c r="F120" s="657"/>
      <c r="G120" s="639"/>
      <c r="H120" s="639"/>
      <c r="I120" s="640">
        <f t="shared" si="5"/>
        <v>0</v>
      </c>
      <c r="J120" s="640">
        <f t="shared" si="4"/>
        <v>0</v>
      </c>
      <c r="K120" s="658"/>
    </row>
    <row r="121" spans="1:34" ht="16.5" thickBot="1" x14ac:dyDescent="0.3">
      <c r="A121" s="522" t="s">
        <v>420</v>
      </c>
      <c r="B121" s="523"/>
      <c r="C121" s="524" t="s">
        <v>160</v>
      </c>
      <c r="D121" s="525" t="s">
        <v>25</v>
      </c>
      <c r="E121" s="655">
        <v>30.4</v>
      </c>
      <c r="F121" s="659"/>
      <c r="G121" s="660"/>
      <c r="H121" s="660"/>
      <c r="I121" s="661">
        <f t="shared" si="5"/>
        <v>0</v>
      </c>
      <c r="J121" s="661">
        <f t="shared" si="4"/>
        <v>0</v>
      </c>
      <c r="K121" s="662"/>
    </row>
    <row r="122" spans="1:34" s="631" customFormat="1" ht="15.75" x14ac:dyDescent="0.25">
      <c r="A122" s="667"/>
      <c r="B122" s="675"/>
      <c r="C122" s="675" t="s">
        <v>598</v>
      </c>
      <c r="D122" s="668"/>
      <c r="E122" s="670"/>
      <c r="F122" s="667"/>
      <c r="G122" s="668"/>
      <c r="H122" s="668"/>
      <c r="I122" s="668"/>
      <c r="J122" s="669">
        <f>SUM(J11:J121)</f>
        <v>0</v>
      </c>
      <c r="K122" s="670"/>
    </row>
    <row r="123" spans="1:34" s="631" customFormat="1" ht="15.75" thickBot="1" x14ac:dyDescent="0.25">
      <c r="A123" s="671"/>
      <c r="B123" s="663"/>
      <c r="C123" s="663" t="s">
        <v>599</v>
      </c>
      <c r="D123" s="672"/>
      <c r="E123" s="674"/>
      <c r="F123" s="671"/>
      <c r="G123" s="672"/>
      <c r="H123" s="672"/>
      <c r="I123" s="672"/>
      <c r="J123" s="673">
        <f>J122/6</f>
        <v>0</v>
      </c>
      <c r="K123" s="674"/>
    </row>
    <row r="124" spans="1:34" ht="15.75" customHeight="1" x14ac:dyDescent="0.25">
      <c r="A124" s="692"/>
      <c r="B124" s="692"/>
      <c r="C124" s="692"/>
      <c r="D124" s="692"/>
      <c r="E124" s="692"/>
      <c r="F124" s="692"/>
      <c r="G124" s="692"/>
      <c r="H124" s="487"/>
      <c r="I124" s="487"/>
      <c r="J124" s="487"/>
      <c r="K124" s="487"/>
      <c r="L124" s="487"/>
      <c r="M124" s="692" t="s">
        <v>600</v>
      </c>
      <c r="N124" s="692"/>
      <c r="O124" s="692"/>
      <c r="P124" s="692"/>
      <c r="Q124" s="692"/>
      <c r="R124" s="692"/>
      <c r="S124" s="692"/>
      <c r="T124" s="692"/>
      <c r="U124" s="692"/>
      <c r="V124" s="692"/>
      <c r="W124" s="631"/>
      <c r="X124" s="631"/>
      <c r="Y124" s="631"/>
      <c r="Z124" s="490"/>
      <c r="AA124" s="490"/>
      <c r="AB124" s="489"/>
      <c r="AC124" s="490"/>
      <c r="AD124" s="490"/>
      <c r="AE124" s="489"/>
      <c r="AF124" s="491"/>
      <c r="AG124" s="491"/>
      <c r="AH124" s="491"/>
    </row>
    <row r="125" spans="1:34" x14ac:dyDescent="0.2">
      <c r="M125" s="664"/>
      <c r="N125" s="664"/>
      <c r="O125" s="664"/>
      <c r="P125" s="665"/>
      <c r="Q125" s="665"/>
      <c r="R125" s="666"/>
      <c r="S125" s="666"/>
      <c r="T125" s="666"/>
      <c r="U125" s="666"/>
      <c r="V125" s="666"/>
      <c r="W125" s="631"/>
      <c r="X125" s="631"/>
      <c r="Y125" s="631"/>
    </row>
    <row r="126" spans="1:34" x14ac:dyDescent="0.2">
      <c r="M126" s="664"/>
      <c r="N126" s="664"/>
      <c r="O126" s="664"/>
      <c r="P126" s="665"/>
      <c r="Q126" s="665"/>
      <c r="R126" s="666"/>
      <c r="S126" s="666"/>
      <c r="T126" s="666"/>
      <c r="U126" s="666"/>
      <c r="V126" s="666"/>
      <c r="W126" s="631"/>
      <c r="X126" s="631"/>
      <c r="Y126" s="631"/>
    </row>
    <row r="127" spans="1:34" x14ac:dyDescent="0.2">
      <c r="M127" s="664"/>
      <c r="N127" s="664"/>
      <c r="O127" s="664"/>
      <c r="P127" s="665"/>
      <c r="Q127" s="665"/>
      <c r="R127" s="666"/>
      <c r="S127" s="666"/>
      <c r="T127" s="666"/>
      <c r="U127" s="666"/>
      <c r="V127" s="666"/>
      <c r="W127" s="631"/>
      <c r="X127" s="631"/>
      <c r="Y127" s="631"/>
    </row>
    <row r="128" spans="1:34" x14ac:dyDescent="0.2">
      <c r="M128" s="664"/>
      <c r="N128" s="664"/>
      <c r="O128" s="664"/>
      <c r="P128" s="665"/>
      <c r="Q128" s="665"/>
      <c r="R128" s="666"/>
      <c r="S128" s="666"/>
      <c r="T128" s="666"/>
      <c r="U128" s="666"/>
      <c r="V128" s="666"/>
      <c r="W128" s="631"/>
      <c r="X128" s="631"/>
      <c r="Y128" s="631"/>
    </row>
    <row r="129" spans="13:25" x14ac:dyDescent="0.2">
      <c r="M129" s="631"/>
      <c r="N129" s="631"/>
      <c r="O129" s="631"/>
      <c r="P129" s="631"/>
      <c r="Q129" s="631"/>
      <c r="R129" s="631"/>
      <c r="S129" s="631"/>
      <c r="T129" s="631"/>
      <c r="U129" s="631"/>
      <c r="V129" s="631"/>
      <c r="W129" s="631"/>
      <c r="X129" s="631"/>
      <c r="Y129" s="631"/>
    </row>
    <row r="130" spans="13:25" x14ac:dyDescent="0.2">
      <c r="M130" s="631"/>
      <c r="N130" s="631"/>
      <c r="O130" s="631"/>
      <c r="P130" s="631"/>
      <c r="Q130" s="631"/>
      <c r="R130" s="631"/>
      <c r="S130" s="631"/>
      <c r="T130" s="631"/>
      <c r="U130" s="631"/>
      <c r="V130" s="631"/>
      <c r="W130" s="631"/>
      <c r="X130" s="631"/>
      <c r="Y130" s="631"/>
    </row>
  </sheetData>
  <autoFilter ref="A9:K121" xr:uid="{80DC7C6F-0587-4111-AFCB-BF52E0EEAD41}"/>
  <mergeCells count="12">
    <mergeCell ref="A4:J4"/>
    <mergeCell ref="A5:J5"/>
    <mergeCell ref="F7:G7"/>
    <mergeCell ref="H7:J7"/>
    <mergeCell ref="A6:K6"/>
    <mergeCell ref="A7:A8"/>
    <mergeCell ref="C7:C8"/>
    <mergeCell ref="D7:D8"/>
    <mergeCell ref="E7:E8"/>
    <mergeCell ref="K7:K8"/>
    <mergeCell ref="A124:G124"/>
    <mergeCell ref="M124:V124"/>
  </mergeCells>
  <conditionalFormatting sqref="X123:AH124">
    <cfRule type="cellIs" dxfId="6" priority="1" operator="lessThan">
      <formula>0</formula>
    </cfRule>
  </conditionalFormatting>
  <pageMargins left="0.31496062992125984" right="0.31496062992125984" top="0.35433070866141736" bottom="0.35433070866141736" header="0.11811023622047245" footer="0.11811023622047245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CCC4C-D821-48CF-B18A-3750C9BF23FD}">
  <sheetPr>
    <pageSetUpPr fitToPage="1"/>
  </sheetPr>
  <dimension ref="A1:AI109"/>
  <sheetViews>
    <sheetView tabSelected="1" topLeftCell="A28" zoomScaleNormal="100" zoomScaleSheetLayoutView="85" workbookViewId="0">
      <selection activeCell="C104" sqref="C104"/>
    </sheetView>
  </sheetViews>
  <sheetFormatPr defaultColWidth="9.140625" defaultRowHeight="15" x14ac:dyDescent="0.25"/>
  <cols>
    <col min="1" max="1" width="6" style="1" customWidth="1"/>
    <col min="2" max="2" width="17.7109375" style="128" customWidth="1"/>
    <col min="3" max="3" width="84.28515625" style="1" customWidth="1"/>
    <col min="4" max="4" width="8.85546875" style="1" customWidth="1"/>
    <col min="5" max="5" width="13.85546875" style="1" bestFit="1" customWidth="1"/>
    <col min="6" max="6" width="18.28515625" style="3" customWidth="1"/>
    <col min="7" max="7" width="18.5703125" style="3" customWidth="1"/>
    <col min="8" max="8" width="16.42578125" style="3" customWidth="1"/>
    <col min="9" max="9" width="9.140625" style="3" customWidth="1"/>
    <col min="10" max="10" width="15.42578125" style="3" customWidth="1"/>
    <col min="11" max="11" width="14.140625" style="3" customWidth="1"/>
    <col min="12" max="16384" width="9.140625" style="3"/>
  </cols>
  <sheetData>
    <row r="1" spans="1:11" s="631" customFormat="1" x14ac:dyDescent="0.2">
      <c r="A1" s="632"/>
      <c r="B1" s="633"/>
      <c r="C1" s="633"/>
      <c r="D1" s="633"/>
      <c r="H1" s="633"/>
      <c r="I1" s="633"/>
      <c r="J1" s="633"/>
    </row>
    <row r="2" spans="1:11" s="631" customFormat="1" ht="15.75" x14ac:dyDescent="0.2">
      <c r="A2" s="634" t="s">
        <v>589</v>
      </c>
      <c r="B2" s="635"/>
      <c r="C2" s="635"/>
      <c r="D2" s="635"/>
      <c r="E2" s="636"/>
      <c r="F2" s="636"/>
      <c r="G2" s="637"/>
      <c r="H2" s="637"/>
      <c r="I2" s="637"/>
      <c r="J2" s="637"/>
    </row>
    <row r="4" spans="1:11" s="631" customFormat="1" ht="15.75" customHeight="1" x14ac:dyDescent="0.2">
      <c r="A4" s="693" t="s">
        <v>590</v>
      </c>
      <c r="B4" s="693"/>
      <c r="C4" s="693"/>
      <c r="D4" s="693"/>
      <c r="E4" s="693"/>
      <c r="F4" s="693"/>
      <c r="G4" s="693"/>
      <c r="H4" s="693"/>
      <c r="I4" s="693"/>
      <c r="J4" s="693"/>
    </row>
    <row r="5" spans="1:11" s="631" customFormat="1" x14ac:dyDescent="0.2">
      <c r="A5" s="694" t="s">
        <v>602</v>
      </c>
      <c r="B5" s="694"/>
      <c r="C5" s="694"/>
      <c r="D5" s="694"/>
      <c r="E5" s="694"/>
      <c r="F5" s="694"/>
      <c r="G5" s="694"/>
      <c r="H5" s="694"/>
      <c r="I5" s="694"/>
      <c r="J5" s="694"/>
    </row>
    <row r="6" spans="1:11" s="631" customFormat="1" ht="45" customHeight="1" x14ac:dyDescent="0.2">
      <c r="A6" s="695" t="s">
        <v>601</v>
      </c>
      <c r="B6" s="695"/>
      <c r="C6" s="695"/>
      <c r="D6" s="695"/>
      <c r="E6" s="695"/>
      <c r="F6" s="695"/>
      <c r="G6" s="695"/>
      <c r="H6" s="695"/>
      <c r="I6" s="695"/>
      <c r="J6" s="695"/>
      <c r="K6" s="695"/>
    </row>
    <row r="7" spans="1:11" ht="15.75" thickBot="1" x14ac:dyDescent="0.3"/>
    <row r="8" spans="1:11" s="5" customFormat="1" ht="15" customHeight="1" x14ac:dyDescent="0.25">
      <c r="A8" s="699" t="s">
        <v>4</v>
      </c>
      <c r="B8" s="484" t="s">
        <v>5</v>
      </c>
      <c r="C8" s="699" t="s">
        <v>6</v>
      </c>
      <c r="D8" s="699" t="s">
        <v>7</v>
      </c>
      <c r="E8" s="699" t="s">
        <v>8</v>
      </c>
      <c r="F8" s="696" t="s">
        <v>592</v>
      </c>
      <c r="G8" s="696"/>
      <c r="H8" s="696" t="s">
        <v>593</v>
      </c>
      <c r="I8" s="696"/>
      <c r="J8" s="696"/>
      <c r="K8" s="697" t="s">
        <v>594</v>
      </c>
    </row>
    <row r="9" spans="1:11" ht="16.5" thickBot="1" x14ac:dyDescent="0.3">
      <c r="A9" s="700"/>
      <c r="B9" s="485" t="s">
        <v>11</v>
      </c>
      <c r="C9" s="700"/>
      <c r="D9" s="700"/>
      <c r="E9" s="701"/>
      <c r="F9" s="638" t="s">
        <v>595</v>
      </c>
      <c r="G9" s="638" t="s">
        <v>13</v>
      </c>
      <c r="H9" s="638" t="s">
        <v>595</v>
      </c>
      <c r="I9" s="638" t="s">
        <v>13</v>
      </c>
      <c r="J9" s="638" t="s">
        <v>596</v>
      </c>
      <c r="K9" s="698"/>
    </row>
    <row r="10" spans="1:11" ht="15.75" thickBot="1" x14ac:dyDescent="0.3">
      <c r="A10" s="541"/>
      <c r="B10" s="542"/>
      <c r="C10" s="543"/>
      <c r="D10" s="544"/>
      <c r="E10" s="676"/>
      <c r="F10" s="323">
        <v>6</v>
      </c>
      <c r="G10" s="323">
        <v>7</v>
      </c>
      <c r="H10" s="323">
        <v>8</v>
      </c>
      <c r="I10" s="323">
        <v>9</v>
      </c>
      <c r="J10" s="323">
        <v>10</v>
      </c>
      <c r="K10" s="323">
        <v>11</v>
      </c>
    </row>
    <row r="11" spans="1:11" ht="18.75" customHeight="1" thickBot="1" x14ac:dyDescent="0.3">
      <c r="A11" s="501"/>
      <c r="B11" s="502" t="s">
        <v>14</v>
      </c>
      <c r="C11" s="503" t="s">
        <v>230</v>
      </c>
      <c r="D11" s="518"/>
      <c r="E11" s="504"/>
      <c r="F11" s="681"/>
      <c r="G11" s="682"/>
      <c r="H11" s="682"/>
      <c r="I11" s="682"/>
      <c r="J11" s="682"/>
      <c r="K11" s="683"/>
    </row>
    <row r="12" spans="1:11" ht="28.5" x14ac:dyDescent="0.25">
      <c r="A12" s="379" t="s">
        <v>21</v>
      </c>
      <c r="B12" s="337"/>
      <c r="C12" s="483" t="s">
        <v>71</v>
      </c>
      <c r="D12" s="538" t="s">
        <v>16</v>
      </c>
      <c r="E12" s="520">
        <v>1541.91</v>
      </c>
      <c r="F12" s="677"/>
      <c r="G12" s="678"/>
      <c r="H12" s="678"/>
      <c r="I12" s="679">
        <f>E12*G12</f>
        <v>0</v>
      </c>
      <c r="J12" s="679">
        <f>H12+I12</f>
        <v>0</v>
      </c>
      <c r="K12" s="680"/>
    </row>
    <row r="13" spans="1:11" ht="28.5" x14ac:dyDescent="0.25">
      <c r="A13" s="482">
        <v>2</v>
      </c>
      <c r="B13" s="331"/>
      <c r="C13" s="332" t="s">
        <v>72</v>
      </c>
      <c r="D13" s="538" t="s">
        <v>16</v>
      </c>
      <c r="E13" s="520">
        <v>47.69</v>
      </c>
      <c r="F13" s="657"/>
      <c r="G13" s="639"/>
      <c r="H13" s="639"/>
      <c r="I13" s="640">
        <f t="shared" ref="I13:I75" si="0">E13*G13</f>
        <v>0</v>
      </c>
      <c r="J13" s="640">
        <f t="shared" ref="J13:J76" si="1">H13+I13</f>
        <v>0</v>
      </c>
      <c r="K13" s="658"/>
    </row>
    <row r="14" spans="1:11" ht="15.75" x14ac:dyDescent="0.25">
      <c r="A14" s="379" t="s">
        <v>24</v>
      </c>
      <c r="B14" s="331"/>
      <c r="C14" s="332" t="s">
        <v>107</v>
      </c>
      <c r="D14" s="538" t="s">
        <v>16</v>
      </c>
      <c r="E14" s="520">
        <v>179.34</v>
      </c>
      <c r="F14" s="657"/>
      <c r="G14" s="639"/>
      <c r="H14" s="639"/>
      <c r="I14" s="640">
        <f t="shared" si="0"/>
        <v>0</v>
      </c>
      <c r="J14" s="640">
        <f t="shared" si="1"/>
        <v>0</v>
      </c>
      <c r="K14" s="658"/>
    </row>
    <row r="15" spans="1:11" ht="15.75" x14ac:dyDescent="0.25">
      <c r="A15" s="381" t="s">
        <v>26</v>
      </c>
      <c r="B15" s="342"/>
      <c r="C15" s="336" t="s">
        <v>109</v>
      </c>
      <c r="D15" s="539" t="s">
        <v>16</v>
      </c>
      <c r="E15" s="519">
        <f>E14*1.1</f>
        <v>197.27400000000003</v>
      </c>
      <c r="F15" s="657"/>
      <c r="G15" s="639"/>
      <c r="H15" s="639">
        <f t="shared" ref="H15:H76" si="2">F15*E15</f>
        <v>0</v>
      </c>
      <c r="I15" s="640"/>
      <c r="J15" s="640">
        <f t="shared" si="1"/>
        <v>0</v>
      </c>
      <c r="K15" s="658"/>
    </row>
    <row r="16" spans="1:11" ht="28.5" x14ac:dyDescent="0.25">
      <c r="A16" s="482">
        <v>4</v>
      </c>
      <c r="B16" s="331"/>
      <c r="C16" s="332" t="s">
        <v>154</v>
      </c>
      <c r="D16" s="538" t="s">
        <v>16</v>
      </c>
      <c r="E16" s="550">
        <v>1300.67</v>
      </c>
      <c r="F16" s="657"/>
      <c r="G16" s="639"/>
      <c r="H16" s="639"/>
      <c r="I16" s="640">
        <f t="shared" si="0"/>
        <v>0</v>
      </c>
      <c r="J16" s="640">
        <f t="shared" si="1"/>
        <v>0</v>
      </c>
      <c r="K16" s="658"/>
    </row>
    <row r="17" spans="1:11" ht="16.5" thickBot="1" x14ac:dyDescent="0.3">
      <c r="A17" s="512">
        <v>5</v>
      </c>
      <c r="B17" s="568"/>
      <c r="C17" s="422" t="s">
        <v>18</v>
      </c>
      <c r="D17" s="569" t="s">
        <v>16</v>
      </c>
      <c r="E17" s="570">
        <f>E16+E14</f>
        <v>1480.01</v>
      </c>
      <c r="F17" s="657"/>
      <c r="G17" s="639"/>
      <c r="H17" s="639"/>
      <c r="I17" s="640">
        <f t="shared" si="0"/>
        <v>0</v>
      </c>
      <c r="J17" s="640">
        <f t="shared" si="1"/>
        <v>0</v>
      </c>
      <c r="K17" s="658"/>
    </row>
    <row r="18" spans="1:11" ht="22.5" customHeight="1" thickBot="1" x14ac:dyDescent="0.3">
      <c r="A18" s="531"/>
      <c r="B18" s="532" t="s">
        <v>20</v>
      </c>
      <c r="C18" s="510" t="s">
        <v>232</v>
      </c>
      <c r="D18" s="533"/>
      <c r="E18" s="557"/>
      <c r="F18" s="681"/>
      <c r="G18" s="682"/>
      <c r="H18" s="682"/>
      <c r="I18" s="682"/>
      <c r="J18" s="682"/>
      <c r="K18" s="683"/>
    </row>
    <row r="19" spans="1:11" ht="15.75" x14ac:dyDescent="0.25">
      <c r="A19" s="379" t="s">
        <v>37</v>
      </c>
      <c r="B19" s="331"/>
      <c r="C19" s="332" t="s">
        <v>74</v>
      </c>
      <c r="D19" s="538" t="s">
        <v>16</v>
      </c>
      <c r="E19" s="165">
        <v>32.46</v>
      </c>
      <c r="F19" s="657"/>
      <c r="G19" s="639"/>
      <c r="H19" s="639"/>
      <c r="I19" s="640">
        <f t="shared" si="0"/>
        <v>0</v>
      </c>
      <c r="J19" s="640">
        <f t="shared" si="1"/>
        <v>0</v>
      </c>
      <c r="K19" s="658"/>
    </row>
    <row r="20" spans="1:11" ht="15.75" x14ac:dyDescent="0.25">
      <c r="A20" s="381" t="s">
        <v>39</v>
      </c>
      <c r="B20" s="335"/>
      <c r="C20" s="336" t="s">
        <v>109</v>
      </c>
      <c r="D20" s="539" t="s">
        <v>16</v>
      </c>
      <c r="E20" s="519">
        <f>E19*1.1</f>
        <v>35.706000000000003</v>
      </c>
      <c r="F20" s="657"/>
      <c r="G20" s="639"/>
      <c r="H20" s="639">
        <f t="shared" si="2"/>
        <v>0</v>
      </c>
      <c r="I20" s="640"/>
      <c r="J20" s="640">
        <f t="shared" si="1"/>
        <v>0</v>
      </c>
      <c r="K20" s="658"/>
    </row>
    <row r="21" spans="1:11" ht="15.75" x14ac:dyDescent="0.25">
      <c r="A21" s="379" t="s">
        <v>43</v>
      </c>
      <c r="B21" s="337"/>
      <c r="C21" s="332" t="s">
        <v>164</v>
      </c>
      <c r="D21" s="538" t="s">
        <v>16</v>
      </c>
      <c r="E21" s="565">
        <v>1.91</v>
      </c>
      <c r="F21" s="657"/>
      <c r="G21" s="639"/>
      <c r="H21" s="639"/>
      <c r="I21" s="640">
        <f t="shared" si="0"/>
        <v>0</v>
      </c>
      <c r="J21" s="640">
        <f t="shared" si="1"/>
        <v>0</v>
      </c>
      <c r="K21" s="658"/>
    </row>
    <row r="22" spans="1:11" ht="15.75" x14ac:dyDescent="0.25">
      <c r="A22" s="381" t="s">
        <v>45</v>
      </c>
      <c r="B22" s="335"/>
      <c r="C22" s="336" t="s">
        <v>187</v>
      </c>
      <c r="D22" s="539" t="s">
        <v>16</v>
      </c>
      <c r="E22" s="519">
        <f>E21*1.25</f>
        <v>2.3874999999999997</v>
      </c>
      <c r="F22" s="657"/>
      <c r="G22" s="639"/>
      <c r="H22" s="639">
        <f t="shared" si="2"/>
        <v>0</v>
      </c>
      <c r="I22" s="640"/>
      <c r="J22" s="640">
        <f t="shared" si="1"/>
        <v>0</v>
      </c>
      <c r="K22" s="658"/>
    </row>
    <row r="23" spans="1:11" ht="28.5" x14ac:dyDescent="0.25">
      <c r="A23" s="379" t="s">
        <v>52</v>
      </c>
      <c r="B23" s="337"/>
      <c r="C23" s="332" t="s">
        <v>168</v>
      </c>
      <c r="D23" s="538" t="s">
        <v>25</v>
      </c>
      <c r="E23" s="520">
        <v>18.100000000000001</v>
      </c>
      <c r="F23" s="657"/>
      <c r="G23" s="639"/>
      <c r="H23" s="639"/>
      <c r="I23" s="640">
        <f t="shared" si="0"/>
        <v>0</v>
      </c>
      <c r="J23" s="640">
        <f t="shared" si="1"/>
        <v>0</v>
      </c>
      <c r="K23" s="658"/>
    </row>
    <row r="24" spans="1:11" ht="45" x14ac:dyDescent="0.25">
      <c r="A24" s="381" t="s">
        <v>80</v>
      </c>
      <c r="B24" s="335"/>
      <c r="C24" s="336" t="s">
        <v>570</v>
      </c>
      <c r="D24" s="539" t="s">
        <v>25</v>
      </c>
      <c r="E24" s="519">
        <v>18.55</v>
      </c>
      <c r="F24" s="657"/>
      <c r="G24" s="639"/>
      <c r="H24" s="639">
        <f t="shared" si="2"/>
        <v>0</v>
      </c>
      <c r="I24" s="640"/>
      <c r="J24" s="640">
        <f t="shared" si="1"/>
        <v>0</v>
      </c>
      <c r="K24" s="658"/>
    </row>
    <row r="25" spans="1:11" ht="28.5" x14ac:dyDescent="0.25">
      <c r="A25" s="379" t="s">
        <v>54</v>
      </c>
      <c r="B25" s="337"/>
      <c r="C25" s="332" t="s">
        <v>188</v>
      </c>
      <c r="D25" s="538" t="s">
        <v>25</v>
      </c>
      <c r="E25" s="520">
        <v>177.3</v>
      </c>
      <c r="F25" s="657"/>
      <c r="G25" s="639"/>
      <c r="H25" s="639"/>
      <c r="I25" s="640">
        <f t="shared" si="0"/>
        <v>0</v>
      </c>
      <c r="J25" s="640">
        <f t="shared" si="1"/>
        <v>0</v>
      </c>
      <c r="K25" s="658"/>
    </row>
    <row r="26" spans="1:11" ht="45" x14ac:dyDescent="0.25">
      <c r="A26" s="381" t="s">
        <v>56</v>
      </c>
      <c r="B26" s="335"/>
      <c r="C26" s="336" t="s">
        <v>571</v>
      </c>
      <c r="D26" s="539" t="s">
        <v>25</v>
      </c>
      <c r="E26" s="519">
        <f>E25*1.025</f>
        <v>181.73249999999999</v>
      </c>
      <c r="F26" s="657"/>
      <c r="G26" s="639"/>
      <c r="H26" s="639">
        <f t="shared" si="2"/>
        <v>0</v>
      </c>
      <c r="I26" s="640"/>
      <c r="J26" s="640">
        <f t="shared" si="1"/>
        <v>0</v>
      </c>
      <c r="K26" s="658"/>
    </row>
    <row r="27" spans="1:11" ht="15.75" x14ac:dyDescent="0.25">
      <c r="A27" s="381" t="s">
        <v>165</v>
      </c>
      <c r="B27" s="335"/>
      <c r="C27" s="336" t="s">
        <v>195</v>
      </c>
      <c r="D27" s="539" t="s">
        <v>36</v>
      </c>
      <c r="E27" s="382">
        <v>55</v>
      </c>
      <c r="F27" s="657"/>
      <c r="G27" s="639"/>
      <c r="H27" s="639">
        <f t="shared" si="2"/>
        <v>0</v>
      </c>
      <c r="I27" s="640"/>
      <c r="J27" s="640">
        <f t="shared" si="1"/>
        <v>0</v>
      </c>
      <c r="K27" s="658"/>
    </row>
    <row r="28" spans="1:11" ht="15.75" x14ac:dyDescent="0.25">
      <c r="A28" s="381" t="s">
        <v>186</v>
      </c>
      <c r="B28" s="335"/>
      <c r="C28" s="336" t="s">
        <v>196</v>
      </c>
      <c r="D28" s="548" t="s">
        <v>36</v>
      </c>
      <c r="E28" s="382">
        <v>27</v>
      </c>
      <c r="F28" s="657"/>
      <c r="G28" s="639"/>
      <c r="H28" s="639">
        <f t="shared" si="2"/>
        <v>0</v>
      </c>
      <c r="I28" s="640"/>
      <c r="J28" s="640">
        <f t="shared" si="1"/>
        <v>0</v>
      </c>
      <c r="K28" s="658"/>
    </row>
    <row r="29" spans="1:11" ht="28.5" x14ac:dyDescent="0.25">
      <c r="A29" s="379" t="s">
        <v>57</v>
      </c>
      <c r="B29" s="337"/>
      <c r="C29" s="338" t="s">
        <v>208</v>
      </c>
      <c r="D29" s="547" t="s">
        <v>25</v>
      </c>
      <c r="E29" s="380">
        <v>17.2</v>
      </c>
      <c r="F29" s="657"/>
      <c r="G29" s="639"/>
      <c r="H29" s="639"/>
      <c r="I29" s="640">
        <f t="shared" si="0"/>
        <v>0</v>
      </c>
      <c r="J29" s="640">
        <f t="shared" si="1"/>
        <v>0</v>
      </c>
      <c r="K29" s="658"/>
    </row>
    <row r="30" spans="1:11" ht="45" x14ac:dyDescent="0.25">
      <c r="A30" s="381" t="s">
        <v>58</v>
      </c>
      <c r="B30" s="335"/>
      <c r="C30" s="339" t="s">
        <v>572</v>
      </c>
      <c r="D30" s="548" t="s">
        <v>25</v>
      </c>
      <c r="E30" s="486">
        <v>17.544</v>
      </c>
      <c r="F30" s="657"/>
      <c r="G30" s="639"/>
      <c r="H30" s="639">
        <f t="shared" si="2"/>
        <v>0</v>
      </c>
      <c r="I30" s="640"/>
      <c r="J30" s="640">
        <f t="shared" si="1"/>
        <v>0</v>
      </c>
      <c r="K30" s="658"/>
    </row>
    <row r="31" spans="1:11" ht="15.75" x14ac:dyDescent="0.25">
      <c r="A31" s="381" t="s">
        <v>170</v>
      </c>
      <c r="B31" s="335"/>
      <c r="C31" s="339" t="s">
        <v>569</v>
      </c>
      <c r="D31" s="548" t="s">
        <v>36</v>
      </c>
      <c r="E31" s="382">
        <v>5</v>
      </c>
      <c r="F31" s="657"/>
      <c r="G31" s="639"/>
      <c r="H31" s="639">
        <f t="shared" si="2"/>
        <v>0</v>
      </c>
      <c r="I31" s="640"/>
      <c r="J31" s="640">
        <f t="shared" si="1"/>
        <v>0</v>
      </c>
      <c r="K31" s="658"/>
    </row>
    <row r="32" spans="1:11" ht="15.75" x14ac:dyDescent="0.25">
      <c r="A32" s="381" t="s">
        <v>199</v>
      </c>
      <c r="B32" s="335"/>
      <c r="C32" s="339" t="s">
        <v>568</v>
      </c>
      <c r="D32" s="548" t="s">
        <v>36</v>
      </c>
      <c r="E32" s="382">
        <v>2</v>
      </c>
      <c r="F32" s="657"/>
      <c r="G32" s="639"/>
      <c r="H32" s="639">
        <f t="shared" si="2"/>
        <v>0</v>
      </c>
      <c r="I32" s="640"/>
      <c r="J32" s="640">
        <f t="shared" si="1"/>
        <v>0</v>
      </c>
      <c r="K32" s="658"/>
    </row>
    <row r="33" spans="1:11" ht="28.5" x14ac:dyDescent="0.25">
      <c r="A33" s="379" t="s">
        <v>86</v>
      </c>
      <c r="B33" s="331"/>
      <c r="C33" s="340" t="s">
        <v>192</v>
      </c>
      <c r="D33" s="538" t="s">
        <v>25</v>
      </c>
      <c r="E33" s="380">
        <v>18.3</v>
      </c>
      <c r="F33" s="657"/>
      <c r="G33" s="639"/>
      <c r="H33" s="639"/>
      <c r="I33" s="640">
        <f t="shared" si="0"/>
        <v>0</v>
      </c>
      <c r="J33" s="640">
        <f t="shared" si="1"/>
        <v>0</v>
      </c>
      <c r="K33" s="658"/>
    </row>
    <row r="34" spans="1:11" ht="28.5" customHeight="1" x14ac:dyDescent="0.25">
      <c r="A34" s="381" t="s">
        <v>91</v>
      </c>
      <c r="B34" s="335"/>
      <c r="C34" s="336" t="s">
        <v>193</v>
      </c>
      <c r="D34" s="539" t="s">
        <v>25</v>
      </c>
      <c r="E34" s="519">
        <f>E33*1.025</f>
        <v>18.7575</v>
      </c>
      <c r="F34" s="657"/>
      <c r="G34" s="639"/>
      <c r="H34" s="639">
        <f t="shared" si="2"/>
        <v>0</v>
      </c>
      <c r="I34" s="640"/>
      <c r="J34" s="640">
        <f t="shared" si="1"/>
        <v>0</v>
      </c>
      <c r="K34" s="658"/>
    </row>
    <row r="35" spans="1:11" ht="15.75" x14ac:dyDescent="0.25">
      <c r="A35" s="379" t="s">
        <v>90</v>
      </c>
      <c r="B35" s="331"/>
      <c r="C35" s="340" t="s">
        <v>198</v>
      </c>
      <c r="D35" s="538" t="s">
        <v>60</v>
      </c>
      <c r="E35" s="520">
        <v>514.96200000000033</v>
      </c>
      <c r="F35" s="657"/>
      <c r="G35" s="639"/>
      <c r="H35" s="639"/>
      <c r="I35" s="640">
        <f t="shared" si="0"/>
        <v>0</v>
      </c>
      <c r="J35" s="640">
        <f t="shared" si="1"/>
        <v>0</v>
      </c>
      <c r="K35" s="658"/>
    </row>
    <row r="36" spans="1:11" ht="62.25" customHeight="1" x14ac:dyDescent="0.25">
      <c r="A36" s="379" t="s">
        <v>167</v>
      </c>
      <c r="B36" s="337"/>
      <c r="C36" s="341" t="s">
        <v>44</v>
      </c>
      <c r="D36" s="538" t="s">
        <v>36</v>
      </c>
      <c r="E36" s="380">
        <v>14</v>
      </c>
      <c r="F36" s="657"/>
      <c r="G36" s="639"/>
      <c r="H36" s="639"/>
      <c r="I36" s="640">
        <f t="shared" si="0"/>
        <v>0</v>
      </c>
      <c r="J36" s="640">
        <f t="shared" si="1"/>
        <v>0</v>
      </c>
      <c r="K36" s="658"/>
    </row>
    <row r="37" spans="1:11" ht="15.75" x14ac:dyDescent="0.25">
      <c r="A37" s="381" t="s">
        <v>97</v>
      </c>
      <c r="B37" s="335"/>
      <c r="C37" s="336" t="s">
        <v>46</v>
      </c>
      <c r="D37" s="342" t="s">
        <v>36</v>
      </c>
      <c r="E37" s="382">
        <v>34</v>
      </c>
      <c r="F37" s="657"/>
      <c r="G37" s="639"/>
      <c r="H37" s="639">
        <f t="shared" si="2"/>
        <v>0</v>
      </c>
      <c r="I37" s="640"/>
      <c r="J37" s="640">
        <f t="shared" si="1"/>
        <v>0</v>
      </c>
      <c r="K37" s="658"/>
    </row>
    <row r="38" spans="1:11" ht="18.75" customHeight="1" x14ac:dyDescent="0.25">
      <c r="A38" s="381" t="s">
        <v>225</v>
      </c>
      <c r="B38" s="335"/>
      <c r="C38" s="336" t="s">
        <v>131</v>
      </c>
      <c r="D38" s="342" t="s">
        <v>36</v>
      </c>
      <c r="E38" s="382">
        <v>14</v>
      </c>
      <c r="F38" s="657"/>
      <c r="G38" s="639"/>
      <c r="H38" s="639">
        <f t="shared" si="2"/>
        <v>0</v>
      </c>
      <c r="I38" s="640"/>
      <c r="J38" s="640">
        <f t="shared" si="1"/>
        <v>0</v>
      </c>
      <c r="K38" s="658"/>
    </row>
    <row r="39" spans="1:11" ht="30" x14ac:dyDescent="0.25">
      <c r="A39" s="381" t="s">
        <v>248</v>
      </c>
      <c r="B39" s="335"/>
      <c r="C39" s="336" t="s">
        <v>132</v>
      </c>
      <c r="D39" s="342" t="s">
        <v>36</v>
      </c>
      <c r="E39" s="382">
        <v>16</v>
      </c>
      <c r="F39" s="657"/>
      <c r="G39" s="639"/>
      <c r="H39" s="639">
        <f t="shared" si="2"/>
        <v>0</v>
      </c>
      <c r="I39" s="640"/>
      <c r="J39" s="640">
        <f t="shared" si="1"/>
        <v>0</v>
      </c>
      <c r="K39" s="658"/>
    </row>
    <row r="40" spans="1:11" ht="30" x14ac:dyDescent="0.25">
      <c r="A40" s="381" t="s">
        <v>249</v>
      </c>
      <c r="B40" s="335"/>
      <c r="C40" s="336" t="s">
        <v>133</v>
      </c>
      <c r="D40" s="342" t="s">
        <v>36</v>
      </c>
      <c r="E40" s="382">
        <v>10</v>
      </c>
      <c r="F40" s="657"/>
      <c r="G40" s="639"/>
      <c r="H40" s="639">
        <f t="shared" si="2"/>
        <v>0</v>
      </c>
      <c r="I40" s="640"/>
      <c r="J40" s="640">
        <f t="shared" si="1"/>
        <v>0</v>
      </c>
      <c r="K40" s="658"/>
    </row>
    <row r="41" spans="1:11" ht="30" x14ac:dyDescent="0.25">
      <c r="A41" s="381" t="s">
        <v>367</v>
      </c>
      <c r="B41" s="335"/>
      <c r="C41" s="336" t="s">
        <v>134</v>
      </c>
      <c r="D41" s="342" t="s">
        <v>36</v>
      </c>
      <c r="E41" s="382">
        <v>14</v>
      </c>
      <c r="F41" s="657"/>
      <c r="G41" s="639"/>
      <c r="H41" s="639">
        <f t="shared" si="2"/>
        <v>0</v>
      </c>
      <c r="I41" s="640"/>
      <c r="J41" s="640">
        <f t="shared" si="1"/>
        <v>0</v>
      </c>
      <c r="K41" s="658"/>
    </row>
    <row r="42" spans="1:11" ht="30" x14ac:dyDescent="0.25">
      <c r="A42" s="381" t="s">
        <v>368</v>
      </c>
      <c r="B42" s="335"/>
      <c r="C42" s="336" t="s">
        <v>135</v>
      </c>
      <c r="D42" s="342" t="s">
        <v>36</v>
      </c>
      <c r="E42" s="382">
        <v>15</v>
      </c>
      <c r="F42" s="657"/>
      <c r="G42" s="639"/>
      <c r="H42" s="639">
        <f t="shared" si="2"/>
        <v>0</v>
      </c>
      <c r="I42" s="640"/>
      <c r="J42" s="640">
        <f t="shared" si="1"/>
        <v>0</v>
      </c>
      <c r="K42" s="658"/>
    </row>
    <row r="43" spans="1:11" ht="15.75" x14ac:dyDescent="0.25">
      <c r="A43" s="381" t="s">
        <v>369</v>
      </c>
      <c r="B43" s="335"/>
      <c r="C43" s="336" t="s">
        <v>340</v>
      </c>
      <c r="D43" s="342" t="s">
        <v>36</v>
      </c>
      <c r="E43" s="382">
        <v>1</v>
      </c>
      <c r="F43" s="657"/>
      <c r="G43" s="639"/>
      <c r="H43" s="639">
        <f t="shared" si="2"/>
        <v>0</v>
      </c>
      <c r="I43" s="640"/>
      <c r="J43" s="640">
        <f t="shared" si="1"/>
        <v>0</v>
      </c>
      <c r="K43" s="658"/>
    </row>
    <row r="44" spans="1:11" ht="15.75" x14ac:dyDescent="0.25">
      <c r="A44" s="381" t="s">
        <v>370</v>
      </c>
      <c r="B44" s="335"/>
      <c r="C44" s="336" t="s">
        <v>341</v>
      </c>
      <c r="D44" s="342" t="s">
        <v>36</v>
      </c>
      <c r="E44" s="382">
        <v>5</v>
      </c>
      <c r="F44" s="657"/>
      <c r="G44" s="639"/>
      <c r="H44" s="639">
        <f t="shared" si="2"/>
        <v>0</v>
      </c>
      <c r="I44" s="640"/>
      <c r="J44" s="640">
        <f t="shared" si="1"/>
        <v>0</v>
      </c>
      <c r="K44" s="658"/>
    </row>
    <row r="45" spans="1:11" ht="15.75" x14ac:dyDescent="0.25">
      <c r="A45" s="381" t="s">
        <v>371</v>
      </c>
      <c r="B45" s="335"/>
      <c r="C45" s="336" t="s">
        <v>342</v>
      </c>
      <c r="D45" s="342" t="s">
        <v>36</v>
      </c>
      <c r="E45" s="382">
        <v>6</v>
      </c>
      <c r="F45" s="657"/>
      <c r="G45" s="639"/>
      <c r="H45" s="639">
        <f t="shared" si="2"/>
        <v>0</v>
      </c>
      <c r="I45" s="640"/>
      <c r="J45" s="640">
        <f t="shared" si="1"/>
        <v>0</v>
      </c>
      <c r="K45" s="658"/>
    </row>
    <row r="46" spans="1:11" ht="15.75" x14ac:dyDescent="0.25">
      <c r="A46" s="381" t="s">
        <v>372</v>
      </c>
      <c r="B46" s="335"/>
      <c r="C46" s="336" t="s">
        <v>361</v>
      </c>
      <c r="D46" s="342" t="s">
        <v>36</v>
      </c>
      <c r="E46" s="382">
        <v>2</v>
      </c>
      <c r="F46" s="657"/>
      <c r="G46" s="639"/>
      <c r="H46" s="639">
        <f t="shared" si="2"/>
        <v>0</v>
      </c>
      <c r="I46" s="640"/>
      <c r="J46" s="640">
        <f t="shared" si="1"/>
        <v>0</v>
      </c>
      <c r="K46" s="658"/>
    </row>
    <row r="47" spans="1:11" ht="28.5" x14ac:dyDescent="0.25">
      <c r="A47" s="379" t="s">
        <v>99</v>
      </c>
      <c r="B47" s="331"/>
      <c r="C47" s="332" t="s">
        <v>136</v>
      </c>
      <c r="D47" s="538" t="s">
        <v>36</v>
      </c>
      <c r="E47" s="380">
        <v>2</v>
      </c>
      <c r="F47" s="657"/>
      <c r="G47" s="639"/>
      <c r="H47" s="639"/>
      <c r="I47" s="640">
        <f t="shared" si="0"/>
        <v>0</v>
      </c>
      <c r="J47" s="640">
        <f t="shared" si="1"/>
        <v>0</v>
      </c>
      <c r="K47" s="658"/>
    </row>
    <row r="48" spans="1:11" ht="15.75" x14ac:dyDescent="0.25">
      <c r="A48" s="381" t="s">
        <v>104</v>
      </c>
      <c r="B48" s="342"/>
      <c r="C48" s="336" t="s">
        <v>137</v>
      </c>
      <c r="D48" s="539" t="s">
        <v>36</v>
      </c>
      <c r="E48" s="382">
        <v>2</v>
      </c>
      <c r="F48" s="657"/>
      <c r="G48" s="639"/>
      <c r="H48" s="639">
        <f t="shared" si="2"/>
        <v>0</v>
      </c>
      <c r="I48" s="640"/>
      <c r="J48" s="640">
        <f t="shared" si="1"/>
        <v>0</v>
      </c>
      <c r="K48" s="658"/>
    </row>
    <row r="49" spans="1:11" ht="30" x14ac:dyDescent="0.25">
      <c r="A49" s="381" t="s">
        <v>169</v>
      </c>
      <c r="B49" s="342"/>
      <c r="C49" s="336" t="s">
        <v>138</v>
      </c>
      <c r="D49" s="539" t="s">
        <v>36</v>
      </c>
      <c r="E49" s="382">
        <v>2</v>
      </c>
      <c r="F49" s="657"/>
      <c r="G49" s="639"/>
      <c r="H49" s="639">
        <f t="shared" si="2"/>
        <v>0</v>
      </c>
      <c r="I49" s="640"/>
      <c r="J49" s="640">
        <f t="shared" si="1"/>
        <v>0</v>
      </c>
      <c r="K49" s="658"/>
    </row>
    <row r="50" spans="1:11" ht="30" x14ac:dyDescent="0.25">
      <c r="A50" s="381" t="s">
        <v>200</v>
      </c>
      <c r="B50" s="342"/>
      <c r="C50" s="336" t="s">
        <v>139</v>
      </c>
      <c r="D50" s="539" t="s">
        <v>36</v>
      </c>
      <c r="E50" s="382">
        <v>4</v>
      </c>
      <c r="F50" s="657"/>
      <c r="G50" s="639"/>
      <c r="H50" s="639">
        <f t="shared" si="2"/>
        <v>0</v>
      </c>
      <c r="I50" s="640"/>
      <c r="J50" s="640">
        <f t="shared" si="1"/>
        <v>0</v>
      </c>
      <c r="K50" s="658"/>
    </row>
    <row r="51" spans="1:11" ht="30" x14ac:dyDescent="0.25">
      <c r="A51" s="381" t="s">
        <v>201</v>
      </c>
      <c r="B51" s="342"/>
      <c r="C51" s="336" t="s">
        <v>140</v>
      </c>
      <c r="D51" s="539" t="s">
        <v>36</v>
      </c>
      <c r="E51" s="382">
        <v>2</v>
      </c>
      <c r="F51" s="657"/>
      <c r="G51" s="639"/>
      <c r="H51" s="639">
        <f t="shared" si="2"/>
        <v>0</v>
      </c>
      <c r="I51" s="640"/>
      <c r="J51" s="640">
        <f t="shared" si="1"/>
        <v>0</v>
      </c>
      <c r="K51" s="658"/>
    </row>
    <row r="52" spans="1:11" ht="30" x14ac:dyDescent="0.25">
      <c r="A52" s="381" t="s">
        <v>202</v>
      </c>
      <c r="B52" s="342"/>
      <c r="C52" s="336" t="s">
        <v>363</v>
      </c>
      <c r="D52" s="539" t="s">
        <v>36</v>
      </c>
      <c r="E52" s="382">
        <v>2</v>
      </c>
      <c r="F52" s="657"/>
      <c r="G52" s="639"/>
      <c r="H52" s="639">
        <f t="shared" si="2"/>
        <v>0</v>
      </c>
      <c r="I52" s="640"/>
      <c r="J52" s="640">
        <f t="shared" si="1"/>
        <v>0</v>
      </c>
      <c r="K52" s="658"/>
    </row>
    <row r="53" spans="1:11" ht="30" x14ac:dyDescent="0.25">
      <c r="A53" s="381" t="s">
        <v>203</v>
      </c>
      <c r="B53" s="342"/>
      <c r="C53" s="336" t="s">
        <v>142</v>
      </c>
      <c r="D53" s="539" t="s">
        <v>36</v>
      </c>
      <c r="E53" s="382">
        <v>6</v>
      </c>
      <c r="F53" s="657"/>
      <c r="G53" s="639"/>
      <c r="H53" s="639">
        <f t="shared" si="2"/>
        <v>0</v>
      </c>
      <c r="I53" s="640"/>
      <c r="J53" s="640">
        <f t="shared" si="1"/>
        <v>0</v>
      </c>
      <c r="K53" s="658"/>
    </row>
    <row r="54" spans="1:11" ht="30" x14ac:dyDescent="0.25">
      <c r="A54" s="381" t="s">
        <v>204</v>
      </c>
      <c r="B54" s="342"/>
      <c r="C54" s="336" t="s">
        <v>143</v>
      </c>
      <c r="D54" s="539" t="s">
        <v>36</v>
      </c>
      <c r="E54" s="382">
        <v>2</v>
      </c>
      <c r="F54" s="657"/>
      <c r="G54" s="639"/>
      <c r="H54" s="639">
        <f t="shared" si="2"/>
        <v>0</v>
      </c>
      <c r="I54" s="640"/>
      <c r="J54" s="640">
        <f t="shared" si="1"/>
        <v>0</v>
      </c>
      <c r="K54" s="658"/>
    </row>
    <row r="55" spans="1:11" ht="28.5" x14ac:dyDescent="0.25">
      <c r="A55" s="379" t="s">
        <v>61</v>
      </c>
      <c r="B55" s="337"/>
      <c r="C55" s="338" t="s">
        <v>53</v>
      </c>
      <c r="D55" s="545" t="s">
        <v>36</v>
      </c>
      <c r="E55" s="380">
        <v>32</v>
      </c>
      <c r="F55" s="657"/>
      <c r="G55" s="639"/>
      <c r="H55" s="639"/>
      <c r="I55" s="640">
        <f t="shared" si="0"/>
        <v>0</v>
      </c>
      <c r="J55" s="640">
        <f t="shared" si="1"/>
        <v>0</v>
      </c>
      <c r="K55" s="658"/>
    </row>
    <row r="56" spans="1:11" ht="15.75" x14ac:dyDescent="0.25">
      <c r="A56" s="379" t="s">
        <v>64</v>
      </c>
      <c r="B56" s="331"/>
      <c r="C56" s="332" t="s">
        <v>55</v>
      </c>
      <c r="D56" s="538" t="s">
        <v>36</v>
      </c>
      <c r="E56" s="380">
        <v>16</v>
      </c>
      <c r="F56" s="657"/>
      <c r="G56" s="639"/>
      <c r="H56" s="639"/>
      <c r="I56" s="640">
        <f t="shared" si="0"/>
        <v>0</v>
      </c>
      <c r="J56" s="640">
        <f t="shared" si="1"/>
        <v>0</v>
      </c>
      <c r="K56" s="658"/>
    </row>
    <row r="57" spans="1:11" ht="15.75" x14ac:dyDescent="0.25">
      <c r="A57" s="381" t="s">
        <v>357</v>
      </c>
      <c r="B57" s="342"/>
      <c r="C57" s="336" t="s">
        <v>150</v>
      </c>
      <c r="D57" s="539" t="s">
        <v>36</v>
      </c>
      <c r="E57" s="382">
        <v>10</v>
      </c>
      <c r="F57" s="657"/>
      <c r="G57" s="639"/>
      <c r="H57" s="639">
        <f t="shared" si="2"/>
        <v>0</v>
      </c>
      <c r="I57" s="640"/>
      <c r="J57" s="640">
        <f t="shared" si="1"/>
        <v>0</v>
      </c>
      <c r="K57" s="658"/>
    </row>
    <row r="58" spans="1:11" ht="15.75" x14ac:dyDescent="0.25">
      <c r="A58" s="381" t="s">
        <v>359</v>
      </c>
      <c r="B58" s="342"/>
      <c r="C58" s="336" t="s">
        <v>151</v>
      </c>
      <c r="D58" s="539" t="s">
        <v>36</v>
      </c>
      <c r="E58" s="382">
        <v>6</v>
      </c>
      <c r="F58" s="657"/>
      <c r="G58" s="639"/>
      <c r="H58" s="639">
        <f t="shared" si="2"/>
        <v>0</v>
      </c>
      <c r="I58" s="640"/>
      <c r="J58" s="640">
        <f t="shared" si="1"/>
        <v>0</v>
      </c>
      <c r="K58" s="658"/>
    </row>
    <row r="59" spans="1:11" ht="15.75" x14ac:dyDescent="0.25">
      <c r="A59" s="379" t="s">
        <v>106</v>
      </c>
      <c r="B59" s="331"/>
      <c r="C59" s="332" t="s">
        <v>190</v>
      </c>
      <c r="D59" s="538" t="s">
        <v>25</v>
      </c>
      <c r="E59" s="520">
        <f>E23+E25+E29</f>
        <v>212.6</v>
      </c>
      <c r="F59" s="657"/>
      <c r="G59" s="639"/>
      <c r="H59" s="639"/>
      <c r="I59" s="640">
        <f t="shared" si="0"/>
        <v>0</v>
      </c>
      <c r="J59" s="640">
        <f t="shared" si="1"/>
        <v>0</v>
      </c>
      <c r="K59" s="658"/>
    </row>
    <row r="60" spans="1:11" ht="15.75" x14ac:dyDescent="0.25">
      <c r="A60" s="379" t="s">
        <v>108</v>
      </c>
      <c r="B60" s="331"/>
      <c r="C60" s="332" t="s">
        <v>384</v>
      </c>
      <c r="D60" s="538" t="s">
        <v>25</v>
      </c>
      <c r="E60" s="520">
        <f>E33</f>
        <v>18.3</v>
      </c>
      <c r="F60" s="657"/>
      <c r="G60" s="639"/>
      <c r="H60" s="639"/>
      <c r="I60" s="640">
        <f t="shared" si="0"/>
        <v>0</v>
      </c>
      <c r="J60" s="640">
        <f t="shared" si="1"/>
        <v>0</v>
      </c>
      <c r="K60" s="658"/>
    </row>
    <row r="61" spans="1:11" ht="15" customHeight="1" x14ac:dyDescent="0.25">
      <c r="A61" s="379" t="s">
        <v>111</v>
      </c>
      <c r="B61" s="337"/>
      <c r="C61" s="332" t="s">
        <v>191</v>
      </c>
      <c r="D61" s="538" t="s">
        <v>25</v>
      </c>
      <c r="E61" s="520">
        <f>E59</f>
        <v>212.6</v>
      </c>
      <c r="F61" s="657"/>
      <c r="G61" s="639"/>
      <c r="H61" s="639"/>
      <c r="I61" s="640">
        <f t="shared" si="0"/>
        <v>0</v>
      </c>
      <c r="J61" s="640">
        <f t="shared" si="1"/>
        <v>0</v>
      </c>
      <c r="K61" s="658"/>
    </row>
    <row r="62" spans="1:11" ht="18" customHeight="1" thickBot="1" x14ac:dyDescent="0.3">
      <c r="A62" s="561" t="s">
        <v>113</v>
      </c>
      <c r="B62" s="571"/>
      <c r="C62" s="555" t="s">
        <v>385</v>
      </c>
      <c r="D62" s="529" t="s">
        <v>25</v>
      </c>
      <c r="E62" s="572">
        <f>E60</f>
        <v>18.3</v>
      </c>
      <c r="F62" s="657"/>
      <c r="G62" s="639"/>
      <c r="H62" s="639"/>
      <c r="I62" s="640">
        <f t="shared" si="0"/>
        <v>0</v>
      </c>
      <c r="J62" s="640">
        <f t="shared" si="1"/>
        <v>0</v>
      </c>
      <c r="K62" s="658"/>
    </row>
    <row r="63" spans="1:11" ht="22.5" customHeight="1" thickBot="1" x14ac:dyDescent="0.3">
      <c r="A63" s="536"/>
      <c r="B63" s="502" t="s">
        <v>59</v>
      </c>
      <c r="C63" s="503" t="s">
        <v>231</v>
      </c>
      <c r="D63" s="503"/>
      <c r="E63" s="537"/>
      <c r="F63" s="681"/>
      <c r="G63" s="682"/>
      <c r="H63" s="682"/>
      <c r="I63" s="682"/>
      <c r="J63" s="682"/>
      <c r="K63" s="683"/>
    </row>
    <row r="64" spans="1:11" ht="29.25" customHeight="1" x14ac:dyDescent="0.25">
      <c r="A64" s="379" t="s">
        <v>263</v>
      </c>
      <c r="B64" s="337"/>
      <c r="C64" s="338" t="s">
        <v>71</v>
      </c>
      <c r="D64" s="545" t="s">
        <v>16</v>
      </c>
      <c r="E64" s="380">
        <v>95.84</v>
      </c>
      <c r="F64" s="657"/>
      <c r="G64" s="639"/>
      <c r="H64" s="639"/>
      <c r="I64" s="640">
        <f t="shared" si="0"/>
        <v>0</v>
      </c>
      <c r="J64" s="640">
        <f t="shared" si="1"/>
        <v>0</v>
      </c>
      <c r="K64" s="658"/>
    </row>
    <row r="65" spans="1:11" ht="29.25" customHeight="1" x14ac:dyDescent="0.25">
      <c r="A65" s="379" t="s">
        <v>264</v>
      </c>
      <c r="B65" s="337"/>
      <c r="C65" s="338" t="s">
        <v>73</v>
      </c>
      <c r="D65" s="545" t="s">
        <v>16</v>
      </c>
      <c r="E65" s="380">
        <v>2.96</v>
      </c>
      <c r="F65" s="657"/>
      <c r="G65" s="639"/>
      <c r="H65" s="639"/>
      <c r="I65" s="640">
        <f t="shared" si="0"/>
        <v>0</v>
      </c>
      <c r="J65" s="640">
        <f t="shared" si="1"/>
        <v>0</v>
      </c>
      <c r="K65" s="658"/>
    </row>
    <row r="66" spans="1:11" ht="15.75" x14ac:dyDescent="0.25">
      <c r="A66" s="373" t="s">
        <v>265</v>
      </c>
      <c r="B66" s="325"/>
      <c r="C66" s="466" t="s">
        <v>347</v>
      </c>
      <c r="D66" s="450" t="s">
        <v>36</v>
      </c>
      <c r="E66" s="380">
        <v>1</v>
      </c>
      <c r="F66" s="657"/>
      <c r="G66" s="639"/>
      <c r="H66" s="639"/>
      <c r="I66" s="640">
        <f t="shared" si="0"/>
        <v>0</v>
      </c>
      <c r="J66" s="640">
        <f t="shared" si="1"/>
        <v>0</v>
      </c>
      <c r="K66" s="658"/>
    </row>
    <row r="67" spans="1:11" ht="15.75" x14ac:dyDescent="0.25">
      <c r="A67" s="373" t="s">
        <v>267</v>
      </c>
      <c r="B67" s="325"/>
      <c r="C67" s="466" t="s">
        <v>348</v>
      </c>
      <c r="D67" s="450" t="s">
        <v>25</v>
      </c>
      <c r="E67" s="380">
        <v>30.5</v>
      </c>
      <c r="F67" s="657"/>
      <c r="G67" s="639"/>
      <c r="H67" s="639"/>
      <c r="I67" s="640">
        <f t="shared" si="0"/>
        <v>0</v>
      </c>
      <c r="J67" s="640">
        <f t="shared" si="1"/>
        <v>0</v>
      </c>
      <c r="K67" s="658"/>
    </row>
    <row r="68" spans="1:11" ht="15.75" x14ac:dyDescent="0.25">
      <c r="A68" s="373" t="s">
        <v>268</v>
      </c>
      <c r="B68" s="325"/>
      <c r="C68" s="466" t="s">
        <v>349</v>
      </c>
      <c r="D68" s="450" t="s">
        <v>25</v>
      </c>
      <c r="E68" s="380">
        <v>30.5</v>
      </c>
      <c r="F68" s="657"/>
      <c r="G68" s="639"/>
      <c r="H68" s="639"/>
      <c r="I68" s="640">
        <f t="shared" si="0"/>
        <v>0</v>
      </c>
      <c r="J68" s="640">
        <f t="shared" si="1"/>
        <v>0</v>
      </c>
      <c r="K68" s="658"/>
    </row>
    <row r="69" spans="1:11" ht="15.75" x14ac:dyDescent="0.25">
      <c r="A69" s="373" t="s">
        <v>269</v>
      </c>
      <c r="B69" s="325"/>
      <c r="C69" s="466" t="s">
        <v>354</v>
      </c>
      <c r="D69" s="450" t="s">
        <v>25</v>
      </c>
      <c r="E69" s="380">
        <v>30.5</v>
      </c>
      <c r="F69" s="657"/>
      <c r="G69" s="639"/>
      <c r="H69" s="639"/>
      <c r="I69" s="640">
        <f t="shared" si="0"/>
        <v>0</v>
      </c>
      <c r="J69" s="640">
        <f t="shared" si="1"/>
        <v>0</v>
      </c>
      <c r="K69" s="658"/>
    </row>
    <row r="70" spans="1:11" ht="15.75" x14ac:dyDescent="0.25">
      <c r="A70" s="373" t="s">
        <v>271</v>
      </c>
      <c r="B70" s="325"/>
      <c r="C70" s="466" t="s">
        <v>353</v>
      </c>
      <c r="D70" s="450" t="s">
        <v>25</v>
      </c>
      <c r="E70" s="380">
        <v>30.5</v>
      </c>
      <c r="F70" s="657"/>
      <c r="G70" s="639"/>
      <c r="H70" s="639"/>
      <c r="I70" s="640">
        <f t="shared" si="0"/>
        <v>0</v>
      </c>
      <c r="J70" s="640">
        <f t="shared" si="1"/>
        <v>0</v>
      </c>
      <c r="K70" s="658"/>
    </row>
    <row r="71" spans="1:11" ht="15.75" x14ac:dyDescent="0.25">
      <c r="A71" s="373" t="s">
        <v>272</v>
      </c>
      <c r="B71" s="325"/>
      <c r="C71" s="466" t="s">
        <v>352</v>
      </c>
      <c r="D71" s="450" t="s">
        <v>25</v>
      </c>
      <c r="E71" s="380">
        <v>30.5</v>
      </c>
      <c r="F71" s="657"/>
      <c r="G71" s="639"/>
      <c r="H71" s="639"/>
      <c r="I71" s="640">
        <f t="shared" si="0"/>
        <v>0</v>
      </c>
      <c r="J71" s="640">
        <f t="shared" si="1"/>
        <v>0</v>
      </c>
      <c r="K71" s="658"/>
    </row>
    <row r="72" spans="1:11" ht="15.75" x14ac:dyDescent="0.25">
      <c r="A72" s="373" t="s">
        <v>275</v>
      </c>
      <c r="B72" s="325"/>
      <c r="C72" s="466" t="s">
        <v>351</v>
      </c>
      <c r="D72" s="450" t="s">
        <v>25</v>
      </c>
      <c r="E72" s="380">
        <v>30.5</v>
      </c>
      <c r="F72" s="657"/>
      <c r="G72" s="639"/>
      <c r="H72" s="639"/>
      <c r="I72" s="640">
        <f t="shared" si="0"/>
        <v>0</v>
      </c>
      <c r="J72" s="640">
        <f t="shared" si="1"/>
        <v>0</v>
      </c>
      <c r="K72" s="658"/>
    </row>
    <row r="73" spans="1:11" ht="15.75" x14ac:dyDescent="0.25">
      <c r="A73" s="373" t="s">
        <v>276</v>
      </c>
      <c r="B73" s="325"/>
      <c r="C73" s="466" t="s">
        <v>365</v>
      </c>
      <c r="D73" s="450" t="s">
        <v>25</v>
      </c>
      <c r="E73" s="380">
        <v>30.5</v>
      </c>
      <c r="F73" s="657"/>
      <c r="G73" s="639"/>
      <c r="H73" s="639"/>
      <c r="I73" s="640">
        <f t="shared" si="0"/>
        <v>0</v>
      </c>
      <c r="J73" s="640">
        <f t="shared" si="1"/>
        <v>0</v>
      </c>
      <c r="K73" s="658"/>
    </row>
    <row r="74" spans="1:11" ht="15.75" x14ac:dyDescent="0.25">
      <c r="A74" s="373" t="s">
        <v>373</v>
      </c>
      <c r="B74" s="325"/>
      <c r="C74" s="466" t="s">
        <v>364</v>
      </c>
      <c r="D74" s="450" t="s">
        <v>25</v>
      </c>
      <c r="E74" s="380">
        <v>30.5</v>
      </c>
      <c r="F74" s="657"/>
      <c r="G74" s="639"/>
      <c r="H74" s="639"/>
      <c r="I74" s="640">
        <f t="shared" si="0"/>
        <v>0</v>
      </c>
      <c r="J74" s="640">
        <f t="shared" si="1"/>
        <v>0</v>
      </c>
      <c r="K74" s="658"/>
    </row>
    <row r="75" spans="1:11" ht="15.75" x14ac:dyDescent="0.25">
      <c r="A75" s="373" t="s">
        <v>277</v>
      </c>
      <c r="B75" s="325"/>
      <c r="C75" s="466" t="s">
        <v>366</v>
      </c>
      <c r="D75" s="450" t="s">
        <v>25</v>
      </c>
      <c r="E75" s="380">
        <v>30.5</v>
      </c>
      <c r="F75" s="657"/>
      <c r="G75" s="639"/>
      <c r="H75" s="639"/>
      <c r="I75" s="640">
        <f t="shared" si="0"/>
        <v>0</v>
      </c>
      <c r="J75" s="640">
        <f t="shared" si="1"/>
        <v>0</v>
      </c>
      <c r="K75" s="658"/>
    </row>
    <row r="76" spans="1:11" ht="15.75" x14ac:dyDescent="0.25">
      <c r="A76" s="381" t="s">
        <v>588</v>
      </c>
      <c r="B76" s="335"/>
      <c r="C76" s="339" t="s">
        <v>587</v>
      </c>
      <c r="D76" s="546" t="s">
        <v>25</v>
      </c>
      <c r="E76" s="382">
        <v>30.5</v>
      </c>
      <c r="F76" s="657"/>
      <c r="G76" s="639"/>
      <c r="H76" s="639">
        <f t="shared" si="2"/>
        <v>0</v>
      </c>
      <c r="I76" s="640"/>
      <c r="J76" s="640">
        <f t="shared" si="1"/>
        <v>0</v>
      </c>
      <c r="K76" s="658"/>
    </row>
    <row r="77" spans="1:11" ht="15.75" x14ac:dyDescent="0.25">
      <c r="A77" s="373" t="s">
        <v>374</v>
      </c>
      <c r="B77" s="325"/>
      <c r="C77" s="466" t="s">
        <v>356</v>
      </c>
      <c r="D77" s="450" t="s">
        <v>36</v>
      </c>
      <c r="E77" s="380">
        <v>1</v>
      </c>
      <c r="F77" s="657"/>
      <c r="G77" s="639"/>
      <c r="H77" s="639"/>
      <c r="I77" s="640">
        <f t="shared" ref="I77:I93" si="3">E77*G77</f>
        <v>0</v>
      </c>
      <c r="J77" s="640">
        <f t="shared" ref="J77:J93" si="4">H77+I77</f>
        <v>0</v>
      </c>
      <c r="K77" s="658"/>
    </row>
    <row r="78" spans="1:11" ht="15.75" x14ac:dyDescent="0.25">
      <c r="A78" s="379" t="s">
        <v>375</v>
      </c>
      <c r="B78" s="337"/>
      <c r="C78" s="338" t="s">
        <v>156</v>
      </c>
      <c r="D78" s="545" t="s">
        <v>16</v>
      </c>
      <c r="E78" s="380">
        <v>11.32</v>
      </c>
      <c r="F78" s="657"/>
      <c r="G78" s="639"/>
      <c r="H78" s="639"/>
      <c r="I78" s="640">
        <f t="shared" si="3"/>
        <v>0</v>
      </c>
      <c r="J78" s="640">
        <f t="shared" si="4"/>
        <v>0</v>
      </c>
      <c r="K78" s="658"/>
    </row>
    <row r="79" spans="1:11" ht="15.75" x14ac:dyDescent="0.25">
      <c r="A79" s="381" t="s">
        <v>386</v>
      </c>
      <c r="B79" s="335"/>
      <c r="C79" s="339" t="s">
        <v>109</v>
      </c>
      <c r="D79" s="546" t="s">
        <v>16</v>
      </c>
      <c r="E79" s="382">
        <f>E78*1.1</f>
        <v>12.452000000000002</v>
      </c>
      <c r="F79" s="657"/>
      <c r="G79" s="639"/>
      <c r="H79" s="639">
        <f t="shared" ref="H79:H89" si="5">F79*E79</f>
        <v>0</v>
      </c>
      <c r="I79" s="640"/>
      <c r="J79" s="640">
        <f t="shared" si="4"/>
        <v>0</v>
      </c>
      <c r="K79" s="658"/>
    </row>
    <row r="80" spans="1:11" ht="29.25" customHeight="1" x14ac:dyDescent="0.25">
      <c r="A80" s="379" t="s">
        <v>376</v>
      </c>
      <c r="B80" s="337"/>
      <c r="C80" s="338" t="s">
        <v>154</v>
      </c>
      <c r="D80" s="545" t="s">
        <v>16</v>
      </c>
      <c r="E80" s="380">
        <v>86.25</v>
      </c>
      <c r="F80" s="657"/>
      <c r="G80" s="639"/>
      <c r="H80" s="639"/>
      <c r="I80" s="640">
        <f t="shared" si="3"/>
        <v>0</v>
      </c>
      <c r="J80" s="640">
        <f t="shared" si="4"/>
        <v>0</v>
      </c>
      <c r="K80" s="658"/>
    </row>
    <row r="81" spans="1:35" ht="15.75" x14ac:dyDescent="0.25">
      <c r="A81" s="381" t="s">
        <v>566</v>
      </c>
      <c r="B81" s="335"/>
      <c r="C81" s="339" t="s">
        <v>109</v>
      </c>
      <c r="D81" s="546" t="s">
        <v>16</v>
      </c>
      <c r="E81" s="382">
        <f>E80*1.1</f>
        <v>94.875000000000014</v>
      </c>
      <c r="F81" s="657"/>
      <c r="G81" s="639"/>
      <c r="H81" s="639">
        <f t="shared" si="5"/>
        <v>0</v>
      </c>
      <c r="I81" s="640"/>
      <c r="J81" s="640">
        <f t="shared" si="4"/>
        <v>0</v>
      </c>
      <c r="K81" s="658"/>
    </row>
    <row r="82" spans="1:35" ht="16.5" thickBot="1" x14ac:dyDescent="0.3">
      <c r="A82" s="379" t="s">
        <v>377</v>
      </c>
      <c r="B82" s="337"/>
      <c r="C82" s="338" t="s">
        <v>18</v>
      </c>
      <c r="D82" s="545" t="s">
        <v>16</v>
      </c>
      <c r="E82" s="380">
        <f>E80+E78</f>
        <v>97.57</v>
      </c>
      <c r="F82" s="657"/>
      <c r="G82" s="639"/>
      <c r="H82" s="639"/>
      <c r="I82" s="640">
        <f t="shared" si="3"/>
        <v>0</v>
      </c>
      <c r="J82" s="640">
        <f t="shared" si="4"/>
        <v>0</v>
      </c>
      <c r="K82" s="658"/>
    </row>
    <row r="83" spans="1:35" ht="15.75" x14ac:dyDescent="0.25">
      <c r="A83" s="379" t="s">
        <v>378</v>
      </c>
      <c r="B83" s="337"/>
      <c r="C83" s="338" t="s">
        <v>74</v>
      </c>
      <c r="D83" s="545" t="s">
        <v>16</v>
      </c>
      <c r="E83" s="380">
        <v>0.96</v>
      </c>
      <c r="F83" s="657"/>
      <c r="G83" s="639"/>
      <c r="H83" s="639"/>
      <c r="I83" s="640">
        <f t="shared" si="3"/>
        <v>0</v>
      </c>
      <c r="J83" s="640">
        <f t="shared" si="4"/>
        <v>0</v>
      </c>
      <c r="K83" s="658"/>
    </row>
    <row r="84" spans="1:35" ht="15.75" x14ac:dyDescent="0.25">
      <c r="A84" s="381" t="s">
        <v>379</v>
      </c>
      <c r="B84" s="335"/>
      <c r="C84" s="339" t="s">
        <v>109</v>
      </c>
      <c r="D84" s="546" t="s">
        <v>16</v>
      </c>
      <c r="E84" s="382">
        <f>E83*1.1</f>
        <v>1.056</v>
      </c>
      <c r="F84" s="657"/>
      <c r="G84" s="639"/>
      <c r="H84" s="639">
        <f t="shared" si="5"/>
        <v>0</v>
      </c>
      <c r="I84" s="640"/>
      <c r="J84" s="640">
        <f t="shared" si="4"/>
        <v>0</v>
      </c>
      <c r="K84" s="658"/>
    </row>
    <row r="85" spans="1:35" ht="15.75" x14ac:dyDescent="0.25">
      <c r="A85" s="379" t="s">
        <v>380</v>
      </c>
      <c r="B85" s="331"/>
      <c r="C85" s="340" t="s">
        <v>198</v>
      </c>
      <c r="D85" s="538" t="s">
        <v>60</v>
      </c>
      <c r="E85" s="520">
        <f>(E64+E65)*1.6</f>
        <v>158.08000000000001</v>
      </c>
      <c r="F85" s="657"/>
      <c r="G85" s="639"/>
      <c r="H85" s="639"/>
      <c r="I85" s="640">
        <f t="shared" si="3"/>
        <v>0</v>
      </c>
      <c r="J85" s="640">
        <f t="shared" si="4"/>
        <v>0</v>
      </c>
      <c r="K85" s="658"/>
    </row>
    <row r="86" spans="1:35" ht="29.25" customHeight="1" x14ac:dyDescent="0.25">
      <c r="A86" s="379" t="s">
        <v>381</v>
      </c>
      <c r="B86" s="337"/>
      <c r="C86" s="338" t="s">
        <v>208</v>
      </c>
      <c r="D86" s="545" t="s">
        <v>25</v>
      </c>
      <c r="E86" s="380">
        <v>32</v>
      </c>
      <c r="F86" s="657"/>
      <c r="G86" s="639"/>
      <c r="H86" s="639"/>
      <c r="I86" s="640">
        <f t="shared" si="3"/>
        <v>0</v>
      </c>
      <c r="J86" s="640">
        <f t="shared" si="4"/>
        <v>0</v>
      </c>
      <c r="K86" s="658"/>
    </row>
    <row r="87" spans="1:35" ht="45" x14ac:dyDescent="0.25">
      <c r="A87" s="381" t="s">
        <v>387</v>
      </c>
      <c r="B87" s="335"/>
      <c r="C87" s="339" t="s">
        <v>205</v>
      </c>
      <c r="D87" s="546" t="s">
        <v>25</v>
      </c>
      <c r="E87" s="382">
        <v>32.799999999999997</v>
      </c>
      <c r="F87" s="657"/>
      <c r="G87" s="639"/>
      <c r="H87" s="639">
        <f t="shared" si="5"/>
        <v>0</v>
      </c>
      <c r="I87" s="640"/>
      <c r="J87" s="640">
        <f t="shared" si="4"/>
        <v>0</v>
      </c>
      <c r="K87" s="658"/>
    </row>
    <row r="88" spans="1:35" ht="15.75" x14ac:dyDescent="0.25">
      <c r="A88" s="381" t="s">
        <v>388</v>
      </c>
      <c r="B88" s="335"/>
      <c r="C88" s="339" t="s">
        <v>569</v>
      </c>
      <c r="D88" s="548" t="s">
        <v>36</v>
      </c>
      <c r="E88" s="382">
        <v>11</v>
      </c>
      <c r="F88" s="657"/>
      <c r="G88" s="639"/>
      <c r="H88" s="639">
        <f t="shared" si="5"/>
        <v>0</v>
      </c>
      <c r="I88" s="640"/>
      <c r="J88" s="640">
        <f t="shared" si="4"/>
        <v>0</v>
      </c>
      <c r="K88" s="658"/>
    </row>
    <row r="89" spans="1:35" ht="15.75" x14ac:dyDescent="0.25">
      <c r="A89" s="381" t="s">
        <v>573</v>
      </c>
      <c r="B89" s="335"/>
      <c r="C89" s="339" t="s">
        <v>568</v>
      </c>
      <c r="D89" s="548" t="s">
        <v>36</v>
      </c>
      <c r="E89" s="382">
        <v>5</v>
      </c>
      <c r="F89" s="657"/>
      <c r="G89" s="639"/>
      <c r="H89" s="639">
        <f t="shared" si="5"/>
        <v>0</v>
      </c>
      <c r="I89" s="640"/>
      <c r="J89" s="640">
        <f t="shared" si="4"/>
        <v>0</v>
      </c>
      <c r="K89" s="658"/>
    </row>
    <row r="90" spans="1:35" ht="30" customHeight="1" x14ac:dyDescent="0.25">
      <c r="A90" s="379" t="s">
        <v>382</v>
      </c>
      <c r="B90" s="337"/>
      <c r="C90" s="338" t="s">
        <v>53</v>
      </c>
      <c r="D90" s="545" t="s">
        <v>36</v>
      </c>
      <c r="E90" s="380">
        <v>1</v>
      </c>
      <c r="F90" s="657"/>
      <c r="G90" s="639"/>
      <c r="H90" s="639"/>
      <c r="I90" s="640">
        <f t="shared" si="3"/>
        <v>0</v>
      </c>
      <c r="J90" s="640">
        <f t="shared" si="4"/>
        <v>0</v>
      </c>
      <c r="K90" s="658"/>
    </row>
    <row r="91" spans="1:35" ht="30" customHeight="1" x14ac:dyDescent="0.25">
      <c r="A91" s="379" t="s">
        <v>383</v>
      </c>
      <c r="B91" s="337"/>
      <c r="C91" s="338" t="s">
        <v>128</v>
      </c>
      <c r="D91" s="545" t="s">
        <v>159</v>
      </c>
      <c r="E91" s="380">
        <v>1</v>
      </c>
      <c r="F91" s="657"/>
      <c r="G91" s="639"/>
      <c r="H91" s="639"/>
      <c r="I91" s="640">
        <f t="shared" si="3"/>
        <v>0</v>
      </c>
      <c r="J91" s="640">
        <f t="shared" si="4"/>
        <v>0</v>
      </c>
      <c r="K91" s="658"/>
    </row>
    <row r="92" spans="1:35" ht="30" customHeight="1" x14ac:dyDescent="0.25">
      <c r="A92" s="379" t="s">
        <v>389</v>
      </c>
      <c r="B92" s="337"/>
      <c r="C92" s="338" t="s">
        <v>190</v>
      </c>
      <c r="D92" s="545" t="s">
        <v>25</v>
      </c>
      <c r="E92" s="380">
        <v>32</v>
      </c>
      <c r="F92" s="657"/>
      <c r="G92" s="639"/>
      <c r="H92" s="639"/>
      <c r="I92" s="640">
        <f t="shared" si="3"/>
        <v>0</v>
      </c>
      <c r="J92" s="640">
        <f t="shared" si="4"/>
        <v>0</v>
      </c>
      <c r="K92" s="658"/>
    </row>
    <row r="93" spans="1:35" ht="30" customHeight="1" thickBot="1" x14ac:dyDescent="0.3">
      <c r="A93" s="561" t="s">
        <v>390</v>
      </c>
      <c r="B93" s="571"/>
      <c r="C93" s="684" t="s">
        <v>160</v>
      </c>
      <c r="D93" s="685" t="s">
        <v>25</v>
      </c>
      <c r="E93" s="564">
        <v>32</v>
      </c>
      <c r="F93" s="686"/>
      <c r="G93" s="687"/>
      <c r="H93" s="687"/>
      <c r="I93" s="688">
        <f t="shared" si="3"/>
        <v>0</v>
      </c>
      <c r="J93" s="688">
        <f t="shared" si="4"/>
        <v>0</v>
      </c>
      <c r="K93" s="689"/>
    </row>
    <row r="94" spans="1:35" ht="15.75" x14ac:dyDescent="0.25">
      <c r="A94" s="667"/>
      <c r="B94" s="668"/>
      <c r="C94" s="668"/>
      <c r="D94" s="668"/>
      <c r="E94" s="670"/>
      <c r="F94" s="690"/>
      <c r="G94" s="668"/>
      <c r="H94" s="668"/>
      <c r="I94" s="668"/>
      <c r="J94" s="669">
        <f>SUM(J12:J93)</f>
        <v>0</v>
      </c>
      <c r="K94" s="670"/>
    </row>
    <row r="95" spans="1:35" ht="16.5" thickBot="1" x14ac:dyDescent="0.3">
      <c r="A95" s="671"/>
      <c r="B95" s="672"/>
      <c r="C95" s="672"/>
      <c r="D95" s="672"/>
      <c r="E95" s="674"/>
      <c r="F95" s="691"/>
      <c r="G95" s="672"/>
      <c r="H95" s="672"/>
      <c r="I95" s="672"/>
      <c r="J95" s="673">
        <f>J94/6</f>
        <v>0</v>
      </c>
      <c r="K95" s="674"/>
      <c r="L95" s="487"/>
      <c r="M95" s="487"/>
      <c r="N95" s="487"/>
      <c r="O95" s="487"/>
      <c r="P95" s="487"/>
      <c r="Q95" s="487"/>
      <c r="R95" s="487"/>
      <c r="S95" s="488"/>
      <c r="T95" s="489"/>
      <c r="U95" s="490"/>
      <c r="V95" s="490"/>
      <c r="W95" s="489"/>
      <c r="X95" s="490"/>
      <c r="Y95" s="490"/>
      <c r="Z95" s="489"/>
      <c r="AA95" s="490"/>
      <c r="AB95" s="490"/>
      <c r="AC95" s="489"/>
      <c r="AD95" s="490"/>
      <c r="AE95" s="490"/>
      <c r="AF95" s="489"/>
      <c r="AG95" s="491"/>
      <c r="AH95" s="491"/>
      <c r="AI95" s="492"/>
    </row>
    <row r="96" spans="1:35" s="631" customFormat="1" x14ac:dyDescent="0.2">
      <c r="A96" s="692"/>
      <c r="B96" s="692"/>
      <c r="C96" s="692"/>
      <c r="D96" s="692"/>
      <c r="E96" s="692"/>
      <c r="F96" s="692"/>
      <c r="G96" s="692"/>
      <c r="M96" s="692" t="s">
        <v>600</v>
      </c>
      <c r="N96" s="692"/>
      <c r="O96" s="692"/>
      <c r="P96" s="692"/>
      <c r="Q96" s="692"/>
      <c r="R96" s="692"/>
      <c r="S96" s="692"/>
      <c r="T96" s="692"/>
      <c r="U96" s="692"/>
      <c r="V96" s="692"/>
    </row>
    <row r="97" spans="13:22" s="631" customFormat="1" x14ac:dyDescent="0.2">
      <c r="M97" s="664"/>
      <c r="N97" s="664"/>
      <c r="O97" s="664"/>
      <c r="P97" s="665"/>
      <c r="Q97" s="665"/>
      <c r="R97" s="666"/>
      <c r="S97" s="666"/>
      <c r="T97" s="666"/>
      <c r="U97" s="666"/>
      <c r="V97" s="666"/>
    </row>
    <row r="98" spans="13:22" s="631" customFormat="1" x14ac:dyDescent="0.2">
      <c r="M98" s="664"/>
      <c r="N98" s="664"/>
      <c r="O98" s="664"/>
      <c r="P98" s="665"/>
      <c r="Q98" s="665"/>
      <c r="R98" s="666"/>
      <c r="S98" s="666"/>
      <c r="T98" s="666"/>
      <c r="U98" s="666"/>
      <c r="V98" s="666"/>
    </row>
    <row r="99" spans="13:22" s="631" customFormat="1" x14ac:dyDescent="0.2">
      <c r="M99" s="664"/>
      <c r="N99" s="664"/>
      <c r="O99" s="664"/>
      <c r="P99" s="665"/>
      <c r="Q99" s="665"/>
      <c r="R99" s="666"/>
      <c r="S99" s="666"/>
      <c r="T99" s="666"/>
      <c r="U99" s="666"/>
      <c r="V99" s="666"/>
    </row>
    <row r="100" spans="13:22" s="631" customFormat="1" x14ac:dyDescent="0.2">
      <c r="M100" s="664"/>
      <c r="N100" s="664"/>
      <c r="O100" s="664"/>
      <c r="P100" s="665"/>
      <c r="Q100" s="665"/>
      <c r="R100" s="666"/>
      <c r="S100" s="666"/>
      <c r="T100" s="666"/>
      <c r="U100" s="666"/>
      <c r="V100" s="666"/>
    </row>
    <row r="101" spans="13:22" s="631" customFormat="1" x14ac:dyDescent="0.2"/>
    <row r="102" spans="13:22" s="631" customFormat="1" x14ac:dyDescent="0.2"/>
    <row r="103" spans="13:22" s="631" customFormat="1" x14ac:dyDescent="0.2"/>
    <row r="104" spans="13:22" s="631" customFormat="1" x14ac:dyDescent="0.2"/>
    <row r="105" spans="13:22" s="631" customFormat="1" x14ac:dyDescent="0.2"/>
    <row r="106" spans="13:22" s="631" customFormat="1" x14ac:dyDescent="0.2"/>
    <row r="107" spans="13:22" s="631" customFormat="1" x14ac:dyDescent="0.2"/>
    <row r="108" spans="13:22" s="631" customFormat="1" x14ac:dyDescent="0.2"/>
    <row r="109" spans="13:22" s="631" customFormat="1" x14ac:dyDescent="0.2"/>
  </sheetData>
  <autoFilter ref="A10:E96" xr:uid="{2CEBBF08-7017-4F0E-BCF6-C10BDC34B791}"/>
  <mergeCells count="12">
    <mergeCell ref="A4:J4"/>
    <mergeCell ref="A5:J5"/>
    <mergeCell ref="A6:K6"/>
    <mergeCell ref="F8:G8"/>
    <mergeCell ref="H8:J8"/>
    <mergeCell ref="K8:K9"/>
    <mergeCell ref="A8:A9"/>
    <mergeCell ref="C8:C9"/>
    <mergeCell ref="D8:D9"/>
    <mergeCell ref="E8:E9"/>
    <mergeCell ref="A96:G96"/>
    <mergeCell ref="M96:V96"/>
  </mergeCells>
  <conditionalFormatting sqref="Y95:AI96">
    <cfRule type="cellIs" dxfId="5" priority="1" operator="lessThan">
      <formula>0</formula>
    </cfRule>
  </conditionalFormatting>
  <pageMargins left="0.31496062992125984" right="0.31496062992125984" top="0.55118110236220474" bottom="0.35433070866141736" header="0.31496062992125984" footer="0.31496062992125984"/>
  <pageSetup paperSize="9" scale="3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4D51C-F48F-44E0-8D5B-D766E82AA93C}">
  <sheetPr>
    <pageSetUpPr fitToPage="1"/>
  </sheetPr>
  <dimension ref="A9:AI146"/>
  <sheetViews>
    <sheetView view="pageBreakPreview" zoomScaleNormal="100" zoomScaleSheetLayoutView="100" workbookViewId="0">
      <selection activeCell="A11" sqref="A11"/>
    </sheetView>
  </sheetViews>
  <sheetFormatPr defaultColWidth="9.140625" defaultRowHeight="15" x14ac:dyDescent="0.25"/>
  <cols>
    <col min="1" max="1" width="6" style="1" customWidth="1"/>
    <col min="2" max="2" width="17.7109375" style="128" customWidth="1"/>
    <col min="3" max="3" width="91" style="1" customWidth="1"/>
    <col min="4" max="4" width="7" style="1" customWidth="1"/>
    <col min="5" max="5" width="13.28515625" style="1" customWidth="1"/>
    <col min="6" max="6" width="13.7109375" style="3" customWidth="1"/>
    <col min="7" max="16384" width="9.140625" style="3"/>
  </cols>
  <sheetData>
    <row r="9" spans="1:5" ht="18.75" x14ac:dyDescent="0.25">
      <c r="A9" s="473"/>
      <c r="B9" s="473"/>
      <c r="C9" s="473"/>
      <c r="E9" s="474" t="s">
        <v>316</v>
      </c>
    </row>
    <row r="10" spans="1:5" ht="15.75" x14ac:dyDescent="0.25">
      <c r="A10" s="475" t="s">
        <v>317</v>
      </c>
      <c r="B10" s="475"/>
      <c r="C10" s="475"/>
      <c r="E10" s="477" t="s">
        <v>318</v>
      </c>
    </row>
    <row r="11" spans="1:5" ht="15.75" x14ac:dyDescent="0.25">
      <c r="A11" s="478" t="s">
        <v>319</v>
      </c>
      <c r="B11" s="478"/>
      <c r="C11" s="478"/>
      <c r="E11" s="476"/>
    </row>
    <row r="12" spans="1:5" ht="15.75" x14ac:dyDescent="0.25">
      <c r="A12" s="475" t="s">
        <v>334</v>
      </c>
      <c r="B12" s="475"/>
      <c r="C12" s="475"/>
      <c r="E12" s="477" t="s">
        <v>321</v>
      </c>
    </row>
    <row r="13" spans="1:5" ht="15.75" x14ac:dyDescent="0.25">
      <c r="A13" s="478" t="s">
        <v>322</v>
      </c>
      <c r="B13" s="478"/>
      <c r="C13" s="478"/>
      <c r="E13" s="479"/>
    </row>
    <row r="14" spans="1:5" ht="15.75" x14ac:dyDescent="0.25">
      <c r="A14" s="478" t="s">
        <v>323</v>
      </c>
      <c r="B14" s="478"/>
      <c r="C14" s="478"/>
      <c r="E14" s="477" t="s">
        <v>360</v>
      </c>
    </row>
    <row r="15" spans="1:5" ht="15.75" x14ac:dyDescent="0.25">
      <c r="A15" s="480" t="s">
        <v>324</v>
      </c>
      <c r="B15" s="480"/>
      <c r="C15" s="480"/>
      <c r="E15" s="477"/>
    </row>
    <row r="16" spans="1:5" ht="48" customHeight="1" x14ac:dyDescent="0.4">
      <c r="A16" s="481"/>
      <c r="B16" s="481"/>
      <c r="C16" s="481"/>
      <c r="E16" s="477" t="s">
        <v>325</v>
      </c>
    </row>
    <row r="17" spans="1:5" ht="15" customHeight="1" x14ac:dyDescent="0.25">
      <c r="A17" s="705" t="s">
        <v>335</v>
      </c>
      <c r="B17" s="705"/>
      <c r="C17" s="705"/>
      <c r="D17" s="705"/>
      <c r="E17" s="705"/>
    </row>
    <row r="18" spans="1:5" ht="22.5" customHeight="1" thickBot="1" x14ac:dyDescent="0.3">
      <c r="A18" s="706" t="s">
        <v>327</v>
      </c>
      <c r="B18" s="706"/>
      <c r="C18" s="706"/>
      <c r="D18" s="706"/>
      <c r="E18" s="706"/>
    </row>
    <row r="19" spans="1:5" s="5" customFormat="1" ht="15" customHeight="1" x14ac:dyDescent="0.25">
      <c r="A19" s="702" t="s">
        <v>4</v>
      </c>
      <c r="B19" s="129" t="s">
        <v>5</v>
      </c>
      <c r="C19" s="702" t="s">
        <v>6</v>
      </c>
      <c r="D19" s="702" t="s">
        <v>7</v>
      </c>
      <c r="E19" s="699" t="s">
        <v>337</v>
      </c>
    </row>
    <row r="20" spans="1:5" ht="15.75" thickBot="1" x14ac:dyDescent="0.3">
      <c r="A20" s="703"/>
      <c r="B20" s="130" t="s">
        <v>11</v>
      </c>
      <c r="C20" s="704"/>
      <c r="D20" s="704"/>
      <c r="E20" s="701"/>
    </row>
    <row r="21" spans="1:5" ht="15.75" thickBot="1" x14ac:dyDescent="0.3">
      <c r="A21" s="513">
        <v>1</v>
      </c>
      <c r="B21" s="515">
        <v>2</v>
      </c>
      <c r="C21" s="513">
        <v>3</v>
      </c>
      <c r="D21" s="222">
        <v>4</v>
      </c>
      <c r="E21" s="11">
        <v>5</v>
      </c>
    </row>
    <row r="22" spans="1:5" ht="28.5" customHeight="1" x14ac:dyDescent="0.25">
      <c r="A22" s="501"/>
      <c r="B22" s="502" t="s">
        <v>14</v>
      </c>
      <c r="C22" s="503" t="s">
        <v>228</v>
      </c>
      <c r="D22" s="518"/>
      <c r="E22" s="504"/>
    </row>
    <row r="23" spans="1:5" ht="28.5" x14ac:dyDescent="0.25">
      <c r="A23" s="377" t="s">
        <v>21</v>
      </c>
      <c r="B23" s="325"/>
      <c r="C23" s="326" t="s">
        <v>71</v>
      </c>
      <c r="D23" s="326" t="s">
        <v>16</v>
      </c>
      <c r="E23" s="380">
        <v>781.21</v>
      </c>
    </row>
    <row r="24" spans="1:5" ht="28.5" x14ac:dyDescent="0.25">
      <c r="A24" s="375">
        <v>2</v>
      </c>
      <c r="B24" s="324"/>
      <c r="C24" s="328" t="s">
        <v>72</v>
      </c>
      <c r="D24" s="451" t="s">
        <v>16</v>
      </c>
      <c r="E24" s="380">
        <v>24.81</v>
      </c>
    </row>
    <row r="25" spans="1:5" x14ac:dyDescent="0.25">
      <c r="A25" s="373" t="s">
        <v>24</v>
      </c>
      <c r="B25" s="324"/>
      <c r="C25" s="328" t="s">
        <v>107</v>
      </c>
      <c r="D25" s="451" t="s">
        <v>16</v>
      </c>
      <c r="E25" s="165">
        <v>124.919</v>
      </c>
    </row>
    <row r="26" spans="1:5" ht="15.75" customHeight="1" x14ac:dyDescent="0.25">
      <c r="A26" s="377" t="s">
        <v>26</v>
      </c>
      <c r="B26" s="329"/>
      <c r="C26" s="330" t="s">
        <v>109</v>
      </c>
      <c r="D26" s="461" t="s">
        <v>16</v>
      </c>
      <c r="E26" s="382">
        <f>E25*1.1</f>
        <v>137.4109</v>
      </c>
    </row>
    <row r="27" spans="1:5" ht="31.5" customHeight="1" x14ac:dyDescent="0.25">
      <c r="A27" s="375">
        <v>4</v>
      </c>
      <c r="B27" s="324"/>
      <c r="C27" s="328" t="s">
        <v>154</v>
      </c>
      <c r="D27" s="451" t="s">
        <v>16</v>
      </c>
      <c r="E27" s="165">
        <v>632.23</v>
      </c>
    </row>
    <row r="28" spans="1:5" x14ac:dyDescent="0.25">
      <c r="A28" s="377" t="s">
        <v>30</v>
      </c>
      <c r="B28" s="329"/>
      <c r="C28" s="330" t="s">
        <v>109</v>
      </c>
      <c r="D28" s="461" t="s">
        <v>16</v>
      </c>
      <c r="E28" s="382">
        <v>426.26</v>
      </c>
    </row>
    <row r="29" spans="1:5" x14ac:dyDescent="0.25">
      <c r="A29" s="377" t="s">
        <v>338</v>
      </c>
      <c r="B29" s="329"/>
      <c r="C29" s="330" t="s">
        <v>339</v>
      </c>
      <c r="D29" s="461" t="s">
        <v>16</v>
      </c>
      <c r="E29" s="382">
        <v>205.97</v>
      </c>
    </row>
    <row r="30" spans="1:5" x14ac:dyDescent="0.25">
      <c r="A30" s="375">
        <v>5</v>
      </c>
      <c r="B30" s="324"/>
      <c r="C30" s="328" t="s">
        <v>18</v>
      </c>
      <c r="D30" s="451" t="s">
        <v>16</v>
      </c>
      <c r="E30" s="165">
        <v>632.23</v>
      </c>
    </row>
    <row r="31" spans="1:5" ht="15.75" thickBot="1" x14ac:dyDescent="0.3">
      <c r="A31" s="526">
        <v>6</v>
      </c>
      <c r="B31" s="527"/>
      <c r="C31" s="528" t="s">
        <v>198</v>
      </c>
      <c r="D31" s="529" t="s">
        <v>60</v>
      </c>
      <c r="E31" s="530">
        <f>(E23+E24)*1.6</f>
        <v>1289.6320000000001</v>
      </c>
    </row>
    <row r="32" spans="1:5" ht="26.25" customHeight="1" x14ac:dyDescent="0.25">
      <c r="A32" s="505"/>
      <c r="B32" s="506" t="s">
        <v>20</v>
      </c>
      <c r="C32" s="503" t="s">
        <v>227</v>
      </c>
      <c r="D32" s="534"/>
      <c r="E32" s="507"/>
    </row>
    <row r="33" spans="1:5" x14ac:dyDescent="0.25">
      <c r="A33" s="373" t="s">
        <v>43</v>
      </c>
      <c r="B33" s="324"/>
      <c r="C33" s="328" t="s">
        <v>74</v>
      </c>
      <c r="D33" s="451" t="s">
        <v>16</v>
      </c>
      <c r="E33" s="165">
        <v>24.55</v>
      </c>
    </row>
    <row r="34" spans="1:5" x14ac:dyDescent="0.25">
      <c r="A34" s="377" t="s">
        <v>45</v>
      </c>
      <c r="B34" s="459"/>
      <c r="C34" s="330" t="s">
        <v>109</v>
      </c>
      <c r="D34" s="461" t="s">
        <v>16</v>
      </c>
      <c r="E34" s="519">
        <f>E33*1.1</f>
        <v>27.005000000000003</v>
      </c>
    </row>
    <row r="35" spans="1:5" ht="28.5" x14ac:dyDescent="0.25">
      <c r="A35" s="373" t="s">
        <v>52</v>
      </c>
      <c r="B35" s="325"/>
      <c r="C35" s="328" t="s">
        <v>121</v>
      </c>
      <c r="D35" s="451" t="s">
        <v>25</v>
      </c>
      <c r="E35" s="520">
        <v>154.1</v>
      </c>
    </row>
    <row r="36" spans="1:5" ht="30" x14ac:dyDescent="0.25">
      <c r="A36" s="377" t="s">
        <v>80</v>
      </c>
      <c r="B36" s="459"/>
      <c r="C36" s="330" t="s">
        <v>559</v>
      </c>
      <c r="D36" s="461" t="s">
        <v>25</v>
      </c>
      <c r="E36" s="519">
        <v>158</v>
      </c>
    </row>
    <row r="37" spans="1:5" x14ac:dyDescent="0.25">
      <c r="A37" s="377" t="s">
        <v>42</v>
      </c>
      <c r="B37" s="459"/>
      <c r="C37" s="330" t="s">
        <v>123</v>
      </c>
      <c r="D37" s="461" t="s">
        <v>36</v>
      </c>
      <c r="E37" s="519">
        <v>41</v>
      </c>
    </row>
    <row r="38" spans="1:5" x14ac:dyDescent="0.25">
      <c r="A38" s="377" t="s">
        <v>144</v>
      </c>
      <c r="B38" s="459"/>
      <c r="C38" s="330" t="s">
        <v>122</v>
      </c>
      <c r="D38" s="516" t="s">
        <v>36</v>
      </c>
      <c r="E38" s="382">
        <v>20</v>
      </c>
    </row>
    <row r="39" spans="1:5" ht="28.5" x14ac:dyDescent="0.25">
      <c r="A39" s="373" t="s">
        <v>54</v>
      </c>
      <c r="B39" s="324"/>
      <c r="C39" s="456" t="s">
        <v>124</v>
      </c>
      <c r="D39" s="451" t="s">
        <v>25</v>
      </c>
      <c r="E39" s="380">
        <v>3</v>
      </c>
    </row>
    <row r="40" spans="1:5" x14ac:dyDescent="0.25">
      <c r="A40" s="377" t="s">
        <v>56</v>
      </c>
      <c r="B40" s="459"/>
      <c r="C40" s="330" t="s">
        <v>125</v>
      </c>
      <c r="D40" s="461" t="s">
        <v>25</v>
      </c>
      <c r="E40" s="521">
        <f>E39*1.025</f>
        <v>3.0749999999999997</v>
      </c>
    </row>
    <row r="41" spans="1:5" ht="114" hidden="1" customHeight="1" x14ac:dyDescent="0.25">
      <c r="A41" s="373" t="s">
        <v>28</v>
      </c>
      <c r="B41" s="324"/>
      <c r="C41" s="328" t="s">
        <v>29</v>
      </c>
      <c r="D41" s="451" t="s">
        <v>16</v>
      </c>
      <c r="E41" s="380"/>
    </row>
    <row r="42" spans="1:5" ht="120" hidden="1" customHeight="1" x14ac:dyDescent="0.25">
      <c r="A42" s="377" t="s">
        <v>30</v>
      </c>
      <c r="B42" s="459"/>
      <c r="C42" s="460" t="s">
        <v>31</v>
      </c>
      <c r="D42" s="461" t="s">
        <v>16</v>
      </c>
      <c r="E42" s="382"/>
    </row>
    <row r="43" spans="1:5" ht="156.75" hidden="1" customHeight="1" x14ac:dyDescent="0.25">
      <c r="A43" s="373" t="s">
        <v>32</v>
      </c>
      <c r="B43" s="324"/>
      <c r="C43" s="456" t="s">
        <v>33</v>
      </c>
      <c r="D43" s="451" t="s">
        <v>16</v>
      </c>
      <c r="E43" s="380"/>
    </row>
    <row r="44" spans="1:5" ht="210" hidden="1" customHeight="1" x14ac:dyDescent="0.25">
      <c r="A44" s="377" t="s">
        <v>34</v>
      </c>
      <c r="B44" s="459"/>
      <c r="C44" s="460" t="s">
        <v>35</v>
      </c>
      <c r="D44" s="461" t="s">
        <v>16</v>
      </c>
      <c r="E44" s="382"/>
    </row>
    <row r="45" spans="1:5" ht="28.5" x14ac:dyDescent="0.25">
      <c r="A45" s="373" t="s">
        <v>57</v>
      </c>
      <c r="B45" s="324"/>
      <c r="C45" s="456" t="s">
        <v>126</v>
      </c>
      <c r="D45" s="451" t="s">
        <v>25</v>
      </c>
      <c r="E45" s="380">
        <v>27.5</v>
      </c>
    </row>
    <row r="46" spans="1:5" ht="30" x14ac:dyDescent="0.25">
      <c r="A46" s="377" t="s">
        <v>58</v>
      </c>
      <c r="B46" s="459"/>
      <c r="C46" s="460" t="s">
        <v>193</v>
      </c>
      <c r="D46" s="461" t="s">
        <v>25</v>
      </c>
      <c r="E46" s="166">
        <f>E45*1.025</f>
        <v>28.187499999999996</v>
      </c>
    </row>
    <row r="47" spans="1:5" s="67" customFormat="1" ht="28.5" x14ac:dyDescent="0.25">
      <c r="A47" s="373" t="s">
        <v>86</v>
      </c>
      <c r="B47" s="325"/>
      <c r="C47" s="456" t="s">
        <v>128</v>
      </c>
      <c r="D47" s="451" t="s">
        <v>36</v>
      </c>
      <c r="E47" s="380">
        <v>1</v>
      </c>
    </row>
    <row r="48" spans="1:5" x14ac:dyDescent="0.25">
      <c r="A48" s="373" t="s">
        <v>90</v>
      </c>
      <c r="B48" s="324"/>
      <c r="C48" s="328" t="s">
        <v>38</v>
      </c>
      <c r="D48" s="451" t="s">
        <v>16</v>
      </c>
      <c r="E48" s="165">
        <v>2.74</v>
      </c>
    </row>
    <row r="49" spans="1:5" x14ac:dyDescent="0.25">
      <c r="A49" s="377" t="s">
        <v>93</v>
      </c>
      <c r="B49" s="459"/>
      <c r="C49" s="330" t="s">
        <v>40</v>
      </c>
      <c r="D49" s="461" t="s">
        <v>16</v>
      </c>
      <c r="E49" s="166">
        <f>E48*1.25</f>
        <v>3.4250000000000003</v>
      </c>
    </row>
    <row r="50" spans="1:5" ht="15" hidden="1" customHeight="1" x14ac:dyDescent="0.25">
      <c r="A50" s="377"/>
      <c r="B50" s="459"/>
      <c r="C50" s="330"/>
      <c r="D50" s="461"/>
      <c r="E50" s="166"/>
    </row>
    <row r="51" spans="1:5" ht="409.5" hidden="1" customHeight="1" x14ac:dyDescent="0.25">
      <c r="A51" s="377"/>
      <c r="B51" s="459"/>
      <c r="C51" s="330"/>
      <c r="D51" s="461"/>
      <c r="E51" s="166"/>
    </row>
    <row r="52" spans="1:5" ht="45" hidden="1" customHeight="1" x14ac:dyDescent="0.25">
      <c r="A52" s="377" t="s">
        <v>42</v>
      </c>
      <c r="B52" s="459"/>
      <c r="C52" s="330"/>
      <c r="D52" s="461"/>
      <c r="E52" s="382"/>
    </row>
    <row r="53" spans="1:5" ht="56.25" customHeight="1" x14ac:dyDescent="0.25">
      <c r="A53" s="373" t="s">
        <v>167</v>
      </c>
      <c r="B53" s="325"/>
      <c r="C53" s="517" t="s">
        <v>44</v>
      </c>
      <c r="D53" s="451" t="s">
        <v>36</v>
      </c>
      <c r="E53" s="380">
        <v>9</v>
      </c>
    </row>
    <row r="54" spans="1:5" x14ac:dyDescent="0.25">
      <c r="A54" s="377" t="s">
        <v>97</v>
      </c>
      <c r="B54" s="459"/>
      <c r="C54" s="330" t="s">
        <v>46</v>
      </c>
      <c r="D54" s="329" t="s">
        <v>36</v>
      </c>
      <c r="E54" s="382">
        <v>22</v>
      </c>
    </row>
    <row r="55" spans="1:5" x14ac:dyDescent="0.25">
      <c r="A55" s="377" t="s">
        <v>225</v>
      </c>
      <c r="B55" s="459"/>
      <c r="C55" s="330" t="s">
        <v>131</v>
      </c>
      <c r="D55" s="329" t="s">
        <v>36</v>
      </c>
      <c r="E55" s="382">
        <v>9</v>
      </c>
    </row>
    <row r="56" spans="1:5" ht="30" x14ac:dyDescent="0.25">
      <c r="A56" s="377" t="s">
        <v>248</v>
      </c>
      <c r="B56" s="459"/>
      <c r="C56" s="330" t="s">
        <v>132</v>
      </c>
      <c r="D56" s="329" t="s">
        <v>36</v>
      </c>
      <c r="E56" s="382">
        <v>11</v>
      </c>
    </row>
    <row r="57" spans="1:5" ht="30" x14ac:dyDescent="0.25">
      <c r="A57" s="377" t="s">
        <v>249</v>
      </c>
      <c r="B57" s="459"/>
      <c r="C57" s="330" t="s">
        <v>133</v>
      </c>
      <c r="D57" s="329" t="s">
        <v>36</v>
      </c>
      <c r="E57" s="382">
        <v>4</v>
      </c>
    </row>
    <row r="58" spans="1:5" ht="30" x14ac:dyDescent="0.25">
      <c r="A58" s="377" t="s">
        <v>367</v>
      </c>
      <c r="B58" s="459"/>
      <c r="C58" s="330" t="s">
        <v>134</v>
      </c>
      <c r="D58" s="329" t="s">
        <v>36</v>
      </c>
      <c r="E58" s="382">
        <v>9</v>
      </c>
    </row>
    <row r="59" spans="1:5" ht="30" x14ac:dyDescent="0.25">
      <c r="A59" s="377" t="s">
        <v>368</v>
      </c>
      <c r="B59" s="459"/>
      <c r="C59" s="330" t="s">
        <v>135</v>
      </c>
      <c r="D59" s="329" t="s">
        <v>36</v>
      </c>
      <c r="E59" s="382">
        <v>10</v>
      </c>
    </row>
    <row r="60" spans="1:5" x14ac:dyDescent="0.25">
      <c r="A60" s="377" t="s">
        <v>369</v>
      </c>
      <c r="B60" s="459"/>
      <c r="C60" s="330" t="s">
        <v>340</v>
      </c>
      <c r="D60" s="329" t="s">
        <v>36</v>
      </c>
      <c r="E60" s="382">
        <v>3</v>
      </c>
    </row>
    <row r="61" spans="1:5" x14ac:dyDescent="0.25">
      <c r="A61" s="377" t="s">
        <v>370</v>
      </c>
      <c r="B61" s="459"/>
      <c r="C61" s="330" t="s">
        <v>341</v>
      </c>
      <c r="D61" s="329" t="s">
        <v>36</v>
      </c>
      <c r="E61" s="382">
        <v>5</v>
      </c>
    </row>
    <row r="62" spans="1:5" x14ac:dyDescent="0.25">
      <c r="A62" s="377" t="s">
        <v>371</v>
      </c>
      <c r="B62" s="459"/>
      <c r="C62" s="330" t="s">
        <v>342</v>
      </c>
      <c r="D62" s="329" t="s">
        <v>36</v>
      </c>
      <c r="E62" s="382">
        <v>1</v>
      </c>
    </row>
    <row r="63" spans="1:5" ht="28.5" x14ac:dyDescent="0.25">
      <c r="A63" s="373" t="s">
        <v>99</v>
      </c>
      <c r="B63" s="324"/>
      <c r="C63" s="328" t="s">
        <v>136</v>
      </c>
      <c r="D63" s="451" t="s">
        <v>36</v>
      </c>
      <c r="E63" s="380">
        <v>3</v>
      </c>
    </row>
    <row r="64" spans="1:5" x14ac:dyDescent="0.25">
      <c r="A64" s="377" t="s">
        <v>104</v>
      </c>
      <c r="B64" s="329"/>
      <c r="C64" s="330" t="s">
        <v>343</v>
      </c>
      <c r="D64" s="461" t="s">
        <v>36</v>
      </c>
      <c r="E64" s="382">
        <v>1</v>
      </c>
    </row>
    <row r="65" spans="1:5" x14ac:dyDescent="0.25">
      <c r="A65" s="377" t="s">
        <v>169</v>
      </c>
      <c r="B65" s="329"/>
      <c r="C65" s="330" t="s">
        <v>344</v>
      </c>
      <c r="D65" s="461" t="s">
        <v>36</v>
      </c>
      <c r="E65" s="382">
        <v>1</v>
      </c>
    </row>
    <row r="66" spans="1:5" x14ac:dyDescent="0.25">
      <c r="A66" s="377" t="s">
        <v>200</v>
      </c>
      <c r="B66" s="329"/>
      <c r="C66" s="330" t="s">
        <v>137</v>
      </c>
      <c r="D66" s="461" t="s">
        <v>36</v>
      </c>
      <c r="E66" s="382">
        <v>1</v>
      </c>
    </row>
    <row r="67" spans="1:5" x14ac:dyDescent="0.25">
      <c r="A67" s="377" t="s">
        <v>201</v>
      </c>
      <c r="B67" s="329"/>
      <c r="C67" s="330" t="s">
        <v>138</v>
      </c>
      <c r="D67" s="461" t="s">
        <v>36</v>
      </c>
      <c r="E67" s="382">
        <v>3</v>
      </c>
    </row>
    <row r="68" spans="1:5" ht="30" x14ac:dyDescent="0.25">
      <c r="A68" s="377" t="s">
        <v>202</v>
      </c>
      <c r="B68" s="329"/>
      <c r="C68" s="330" t="s">
        <v>139</v>
      </c>
      <c r="D68" s="461" t="s">
        <v>36</v>
      </c>
      <c r="E68" s="382">
        <v>6</v>
      </c>
    </row>
    <row r="69" spans="1:5" ht="30" x14ac:dyDescent="0.25">
      <c r="A69" s="377" t="s">
        <v>203</v>
      </c>
      <c r="B69" s="329"/>
      <c r="C69" s="330" t="s">
        <v>140</v>
      </c>
      <c r="D69" s="461" t="s">
        <v>36</v>
      </c>
      <c r="E69" s="382">
        <v>3</v>
      </c>
    </row>
    <row r="70" spans="1:5" ht="30" x14ac:dyDescent="0.25">
      <c r="A70" s="377" t="s">
        <v>204</v>
      </c>
      <c r="B70" s="329"/>
      <c r="C70" s="330" t="s">
        <v>345</v>
      </c>
      <c r="D70" s="461" t="s">
        <v>36</v>
      </c>
      <c r="E70" s="382">
        <v>3</v>
      </c>
    </row>
    <row r="71" spans="1:5" x14ac:dyDescent="0.25">
      <c r="A71" s="377" t="s">
        <v>392</v>
      </c>
      <c r="B71" s="329"/>
      <c r="C71" s="330" t="s">
        <v>142</v>
      </c>
      <c r="D71" s="461" t="s">
        <v>36</v>
      </c>
      <c r="E71" s="382">
        <v>8</v>
      </c>
    </row>
    <row r="72" spans="1:5" ht="30" x14ac:dyDescent="0.25">
      <c r="A72" s="377" t="s">
        <v>393</v>
      </c>
      <c r="B72" s="329"/>
      <c r="C72" s="330" t="s">
        <v>135</v>
      </c>
      <c r="D72" s="461" t="s">
        <v>36</v>
      </c>
      <c r="E72" s="382">
        <v>6</v>
      </c>
    </row>
    <row r="73" spans="1:5" ht="30" x14ac:dyDescent="0.25">
      <c r="A73" s="377" t="s">
        <v>394</v>
      </c>
      <c r="B73" s="329"/>
      <c r="C73" s="330" t="s">
        <v>143</v>
      </c>
      <c r="D73" s="461" t="s">
        <v>36</v>
      </c>
      <c r="E73" s="382">
        <v>1</v>
      </c>
    </row>
    <row r="74" spans="1:5" x14ac:dyDescent="0.25">
      <c r="A74" s="373" t="s">
        <v>61</v>
      </c>
      <c r="B74" s="324"/>
      <c r="C74" s="328" t="s">
        <v>183</v>
      </c>
      <c r="D74" s="451" t="s">
        <v>36</v>
      </c>
      <c r="E74" s="380">
        <v>2</v>
      </c>
    </row>
    <row r="75" spans="1:5" x14ac:dyDescent="0.25">
      <c r="A75" s="377" t="s">
        <v>62</v>
      </c>
      <c r="B75" s="329"/>
      <c r="C75" s="330" t="s">
        <v>184</v>
      </c>
      <c r="D75" s="461" t="s">
        <v>36</v>
      </c>
      <c r="E75" s="382">
        <v>2</v>
      </c>
    </row>
    <row r="76" spans="1:5" ht="45" x14ac:dyDescent="0.25">
      <c r="A76" s="377" t="s">
        <v>63</v>
      </c>
      <c r="B76" s="329"/>
      <c r="C76" s="330" t="s">
        <v>557</v>
      </c>
      <c r="D76" s="461" t="s">
        <v>25</v>
      </c>
      <c r="E76" s="382">
        <v>1.85</v>
      </c>
    </row>
    <row r="77" spans="1:5" x14ac:dyDescent="0.25">
      <c r="A77" s="377" t="s">
        <v>212</v>
      </c>
      <c r="B77" s="329"/>
      <c r="C77" s="330" t="s">
        <v>185</v>
      </c>
      <c r="D77" s="461" t="s">
        <v>36</v>
      </c>
      <c r="E77" s="382">
        <v>2</v>
      </c>
    </row>
    <row r="78" spans="1:5" x14ac:dyDescent="0.25">
      <c r="A78" s="373" t="s">
        <v>64</v>
      </c>
      <c r="B78" s="324"/>
      <c r="C78" s="328" t="s">
        <v>55</v>
      </c>
      <c r="D78" s="451" t="s">
        <v>36</v>
      </c>
      <c r="E78" s="380">
        <v>12</v>
      </c>
    </row>
    <row r="79" spans="1:5" x14ac:dyDescent="0.25">
      <c r="A79" s="377" t="s">
        <v>357</v>
      </c>
      <c r="B79" s="329"/>
      <c r="C79" s="330" t="s">
        <v>150</v>
      </c>
      <c r="D79" s="461" t="s">
        <v>36</v>
      </c>
      <c r="E79" s="382">
        <v>11</v>
      </c>
    </row>
    <row r="80" spans="1:5" x14ac:dyDescent="0.25">
      <c r="A80" s="377" t="s">
        <v>359</v>
      </c>
      <c r="B80" s="459"/>
      <c r="C80" s="330" t="s">
        <v>151</v>
      </c>
      <c r="D80" s="461" t="s">
        <v>36</v>
      </c>
      <c r="E80" s="382">
        <v>1</v>
      </c>
    </row>
    <row r="81" spans="1:5" x14ac:dyDescent="0.25">
      <c r="A81" s="373" t="s">
        <v>106</v>
      </c>
      <c r="B81" s="324"/>
      <c r="C81" s="328" t="s">
        <v>152</v>
      </c>
      <c r="D81" s="451" t="s">
        <v>25</v>
      </c>
      <c r="E81" s="520">
        <f>E35+E39</f>
        <v>157.1</v>
      </c>
    </row>
    <row r="82" spans="1:5" x14ac:dyDescent="0.25">
      <c r="A82" s="373" t="s">
        <v>108</v>
      </c>
      <c r="B82" s="324"/>
      <c r="C82" s="328" t="s">
        <v>384</v>
      </c>
      <c r="D82" s="451" t="s">
        <v>25</v>
      </c>
      <c r="E82" s="520">
        <f>E45</f>
        <v>27.5</v>
      </c>
    </row>
    <row r="83" spans="1:5" ht="28.5" x14ac:dyDescent="0.25">
      <c r="A83" s="373" t="s">
        <v>111</v>
      </c>
      <c r="B83" s="325"/>
      <c r="C83" s="328" t="s">
        <v>153</v>
      </c>
      <c r="D83" s="451" t="s">
        <v>25</v>
      </c>
      <c r="E83" s="520">
        <v>157.1</v>
      </c>
    </row>
    <row r="84" spans="1:5" ht="29.25" thickBot="1" x14ac:dyDescent="0.3">
      <c r="A84" s="522" t="s">
        <v>113</v>
      </c>
      <c r="B84" s="523"/>
      <c r="C84" s="402" t="s">
        <v>391</v>
      </c>
      <c r="D84" s="6" t="s">
        <v>25</v>
      </c>
      <c r="E84" s="535">
        <f>E82</f>
        <v>27.5</v>
      </c>
    </row>
    <row r="85" spans="1:5" ht="22.5" customHeight="1" x14ac:dyDescent="0.25">
      <c r="A85" s="505"/>
      <c r="B85" s="506" t="s">
        <v>256</v>
      </c>
      <c r="C85" s="503" t="s">
        <v>233</v>
      </c>
      <c r="D85" s="534"/>
      <c r="E85" s="507"/>
    </row>
    <row r="86" spans="1:5" x14ac:dyDescent="0.25">
      <c r="A86" s="373" t="s">
        <v>263</v>
      </c>
      <c r="B86" s="325"/>
      <c r="C86" s="456" t="s">
        <v>234</v>
      </c>
      <c r="D86" s="451"/>
      <c r="E86" s="380"/>
    </row>
    <row r="87" spans="1:5" x14ac:dyDescent="0.25">
      <c r="A87" s="373" t="s">
        <v>395</v>
      </c>
      <c r="B87" s="325"/>
      <c r="C87" s="456" t="s">
        <v>236</v>
      </c>
      <c r="D87" s="451" t="s">
        <v>27</v>
      </c>
      <c r="E87" s="380">
        <v>9</v>
      </c>
    </row>
    <row r="88" spans="1:5" ht="17.25" customHeight="1" x14ac:dyDescent="0.25">
      <c r="A88" s="377" t="s">
        <v>396</v>
      </c>
      <c r="B88" s="329"/>
      <c r="C88" s="330" t="s">
        <v>235</v>
      </c>
      <c r="D88" s="461" t="s">
        <v>27</v>
      </c>
      <c r="E88" s="382">
        <v>9.27</v>
      </c>
    </row>
    <row r="89" spans="1:5" x14ac:dyDescent="0.25">
      <c r="A89" s="373" t="s">
        <v>397</v>
      </c>
      <c r="B89" s="325"/>
      <c r="C89" s="456" t="s">
        <v>237</v>
      </c>
      <c r="D89" s="451" t="s">
        <v>16</v>
      </c>
      <c r="E89" s="380">
        <v>1.8</v>
      </c>
    </row>
    <row r="90" spans="1:5" ht="16.5" customHeight="1" x14ac:dyDescent="0.25">
      <c r="A90" s="377" t="s">
        <v>398</v>
      </c>
      <c r="B90" s="329"/>
      <c r="C90" s="330" t="s">
        <v>241</v>
      </c>
      <c r="D90" s="461" t="s">
        <v>27</v>
      </c>
      <c r="E90" s="382">
        <v>2.25</v>
      </c>
    </row>
    <row r="91" spans="1:5" x14ac:dyDescent="0.25">
      <c r="A91" s="373" t="s">
        <v>399</v>
      </c>
      <c r="B91" s="325"/>
      <c r="C91" s="456" t="s">
        <v>260</v>
      </c>
      <c r="D91" s="451" t="s">
        <v>27</v>
      </c>
      <c r="E91" s="380">
        <v>8</v>
      </c>
    </row>
    <row r="92" spans="1:5" ht="18" customHeight="1" x14ac:dyDescent="0.25">
      <c r="A92" s="377" t="s">
        <v>400</v>
      </c>
      <c r="B92" s="329"/>
      <c r="C92" s="330" t="s">
        <v>258</v>
      </c>
      <c r="D92" s="461" t="s">
        <v>27</v>
      </c>
      <c r="E92" s="382">
        <v>8.8000000000000007</v>
      </c>
    </row>
    <row r="93" spans="1:5" x14ac:dyDescent="0.25">
      <c r="A93" s="373" t="s">
        <v>401</v>
      </c>
      <c r="B93" s="325"/>
      <c r="C93" s="456" t="s">
        <v>358</v>
      </c>
      <c r="D93" s="451" t="s">
        <v>16</v>
      </c>
      <c r="E93" s="380">
        <v>0.7</v>
      </c>
    </row>
    <row r="94" spans="1:5" ht="15.75" customHeight="1" x14ac:dyDescent="0.25">
      <c r="A94" s="377" t="s">
        <v>402</v>
      </c>
      <c r="B94" s="329"/>
      <c r="C94" s="330" t="s">
        <v>239</v>
      </c>
      <c r="D94" s="461" t="s">
        <v>16</v>
      </c>
      <c r="E94" s="382">
        <v>0.7</v>
      </c>
    </row>
    <row r="95" spans="1:5" x14ac:dyDescent="0.25">
      <c r="A95" s="373" t="s">
        <v>403</v>
      </c>
      <c r="B95" s="325"/>
      <c r="C95" s="456" t="s">
        <v>238</v>
      </c>
      <c r="D95" s="451" t="s">
        <v>16</v>
      </c>
      <c r="E95" s="380">
        <v>1.728</v>
      </c>
    </row>
    <row r="96" spans="1:5" ht="14.25" customHeight="1" x14ac:dyDescent="0.25">
      <c r="A96" s="377" t="s">
        <v>404</v>
      </c>
      <c r="B96" s="329"/>
      <c r="C96" s="330" t="s">
        <v>346</v>
      </c>
      <c r="D96" s="461" t="s">
        <v>16</v>
      </c>
      <c r="E96" s="486">
        <v>1.7539199999999997</v>
      </c>
    </row>
    <row r="97" spans="1:5" ht="17.25" customHeight="1" x14ac:dyDescent="0.25">
      <c r="A97" s="377" t="s">
        <v>405</v>
      </c>
      <c r="B97" s="329"/>
      <c r="C97" s="330" t="s">
        <v>240</v>
      </c>
      <c r="D97" s="461" t="s">
        <v>41</v>
      </c>
      <c r="E97" s="382">
        <v>142.68</v>
      </c>
    </row>
    <row r="98" spans="1:5" x14ac:dyDescent="0.25">
      <c r="A98" s="373" t="s">
        <v>264</v>
      </c>
      <c r="B98" s="325"/>
      <c r="C98" s="456" t="s">
        <v>129</v>
      </c>
      <c r="D98" s="451" t="s">
        <v>36</v>
      </c>
      <c r="E98" s="380">
        <v>1</v>
      </c>
    </row>
    <row r="99" spans="1:5" x14ac:dyDescent="0.25">
      <c r="A99" s="373" t="s">
        <v>406</v>
      </c>
      <c r="B99" s="459"/>
      <c r="C99" s="460" t="s">
        <v>279</v>
      </c>
      <c r="D99" s="461" t="s">
        <v>36</v>
      </c>
      <c r="E99" s="166">
        <v>1</v>
      </c>
    </row>
    <row r="100" spans="1:5" x14ac:dyDescent="0.25">
      <c r="A100" s="373" t="s">
        <v>265</v>
      </c>
      <c r="B100" s="325"/>
      <c r="C100" s="456" t="s">
        <v>242</v>
      </c>
      <c r="D100" s="451"/>
      <c r="E100" s="380"/>
    </row>
    <row r="101" spans="1:5" x14ac:dyDescent="0.25">
      <c r="A101" s="373" t="s">
        <v>266</v>
      </c>
      <c r="B101" s="325"/>
      <c r="C101" s="456" t="s">
        <v>236</v>
      </c>
      <c r="D101" s="451" t="s">
        <v>27</v>
      </c>
      <c r="E101" s="380">
        <v>9</v>
      </c>
    </row>
    <row r="102" spans="1:5" ht="16.5" customHeight="1" x14ac:dyDescent="0.25">
      <c r="A102" s="377" t="s">
        <v>407</v>
      </c>
      <c r="B102" s="329"/>
      <c r="C102" s="330" t="s">
        <v>235</v>
      </c>
      <c r="D102" s="461" t="s">
        <v>27</v>
      </c>
      <c r="E102" s="382">
        <v>9.27</v>
      </c>
    </row>
    <row r="103" spans="1:5" x14ac:dyDescent="0.25">
      <c r="A103" s="373" t="s">
        <v>408</v>
      </c>
      <c r="B103" s="325"/>
      <c r="C103" s="456" t="s">
        <v>243</v>
      </c>
      <c r="D103" s="451" t="s">
        <v>16</v>
      </c>
      <c r="E103" s="380">
        <v>1.8</v>
      </c>
    </row>
    <row r="104" spans="1:5" ht="15.75" customHeight="1" x14ac:dyDescent="0.25">
      <c r="A104" s="377" t="s">
        <v>409</v>
      </c>
      <c r="B104" s="329"/>
      <c r="C104" s="330" t="s">
        <v>244</v>
      </c>
      <c r="D104" s="461" t="s">
        <v>16</v>
      </c>
      <c r="E104" s="382">
        <v>1.9800000000000002</v>
      </c>
    </row>
    <row r="105" spans="1:5" x14ac:dyDescent="0.25">
      <c r="A105" s="373" t="s">
        <v>410</v>
      </c>
      <c r="B105" s="325"/>
      <c r="C105" s="456" t="s">
        <v>260</v>
      </c>
      <c r="D105" s="451" t="s">
        <v>27</v>
      </c>
      <c r="E105" s="380">
        <v>8</v>
      </c>
    </row>
    <row r="106" spans="1:5" ht="17.25" customHeight="1" x14ac:dyDescent="0.25">
      <c r="A106" s="377" t="s">
        <v>411</v>
      </c>
      <c r="B106" s="329"/>
      <c r="C106" s="330" t="s">
        <v>258</v>
      </c>
      <c r="D106" s="461" t="s">
        <v>27</v>
      </c>
      <c r="E106" s="382">
        <v>8.8000000000000007</v>
      </c>
    </row>
    <row r="107" spans="1:5" x14ac:dyDescent="0.25">
      <c r="A107" s="373" t="s">
        <v>412</v>
      </c>
      <c r="B107" s="325"/>
      <c r="C107" s="456" t="s">
        <v>245</v>
      </c>
      <c r="D107" s="451" t="s">
        <v>16</v>
      </c>
      <c r="E107" s="380">
        <v>1.1519999999999999</v>
      </c>
    </row>
    <row r="108" spans="1:5" ht="17.25" customHeight="1" x14ac:dyDescent="0.25">
      <c r="A108" s="377" t="s">
        <v>413</v>
      </c>
      <c r="B108" s="329"/>
      <c r="C108" s="330" t="s">
        <v>346</v>
      </c>
      <c r="D108" s="461" t="s">
        <v>16</v>
      </c>
      <c r="E108" s="486">
        <v>1.1692799999999999</v>
      </c>
    </row>
    <row r="109" spans="1:5" ht="17.25" customHeight="1" thickBot="1" x14ac:dyDescent="0.3">
      <c r="A109" s="573" t="s">
        <v>414</v>
      </c>
      <c r="B109" s="574"/>
      <c r="C109" s="575" t="s">
        <v>240</v>
      </c>
      <c r="D109" s="576" t="s">
        <v>41</v>
      </c>
      <c r="E109" s="560">
        <v>136.68</v>
      </c>
    </row>
    <row r="110" spans="1:5" ht="29.25" customHeight="1" x14ac:dyDescent="0.25">
      <c r="A110" s="508"/>
      <c r="B110" s="509" t="s">
        <v>257</v>
      </c>
      <c r="C110" s="510" t="s">
        <v>155</v>
      </c>
      <c r="D110" s="510"/>
      <c r="E110" s="511"/>
    </row>
    <row r="111" spans="1:5" ht="28.5" x14ac:dyDescent="0.25">
      <c r="A111" s="373" t="s">
        <v>267</v>
      </c>
      <c r="B111" s="325"/>
      <c r="C111" s="466" t="s">
        <v>71</v>
      </c>
      <c r="D111" s="450" t="s">
        <v>16</v>
      </c>
      <c r="E111" s="380">
        <v>95.84</v>
      </c>
    </row>
    <row r="112" spans="1:5" ht="28.5" x14ac:dyDescent="0.25">
      <c r="A112" s="373" t="s">
        <v>268</v>
      </c>
      <c r="B112" s="325"/>
      <c r="C112" s="466" t="s">
        <v>72</v>
      </c>
      <c r="D112" s="450" t="s">
        <v>16</v>
      </c>
      <c r="E112" s="380">
        <v>2.96</v>
      </c>
    </row>
    <row r="113" spans="1:5" x14ac:dyDescent="0.25">
      <c r="A113" s="373" t="s">
        <v>269</v>
      </c>
      <c r="B113" s="325"/>
      <c r="C113" s="466" t="s">
        <v>347</v>
      </c>
      <c r="D113" s="450" t="s">
        <v>36</v>
      </c>
      <c r="E113" s="380">
        <v>1</v>
      </c>
    </row>
    <row r="114" spans="1:5" x14ac:dyDescent="0.25">
      <c r="A114" s="373" t="s">
        <v>271</v>
      </c>
      <c r="B114" s="325"/>
      <c r="C114" s="466" t="s">
        <v>348</v>
      </c>
      <c r="D114" s="450" t="s">
        <v>25</v>
      </c>
      <c r="E114" s="380">
        <v>28.9</v>
      </c>
    </row>
    <row r="115" spans="1:5" x14ac:dyDescent="0.25">
      <c r="A115" s="373" t="s">
        <v>272</v>
      </c>
      <c r="B115" s="325"/>
      <c r="C115" s="466" t="s">
        <v>349</v>
      </c>
      <c r="D115" s="450" t="s">
        <v>25</v>
      </c>
      <c r="E115" s="380">
        <v>28.9</v>
      </c>
    </row>
    <row r="116" spans="1:5" x14ac:dyDescent="0.25">
      <c r="A116" s="373" t="s">
        <v>275</v>
      </c>
      <c r="B116" s="325"/>
      <c r="C116" s="466" t="s">
        <v>354</v>
      </c>
      <c r="D116" s="450" t="s">
        <v>25</v>
      </c>
      <c r="E116" s="380">
        <v>28.9</v>
      </c>
    </row>
    <row r="117" spans="1:5" x14ac:dyDescent="0.25">
      <c r="A117" s="373" t="s">
        <v>276</v>
      </c>
      <c r="B117" s="325"/>
      <c r="C117" s="466" t="s">
        <v>353</v>
      </c>
      <c r="D117" s="450" t="s">
        <v>25</v>
      </c>
      <c r="E117" s="380">
        <v>28.9</v>
      </c>
    </row>
    <row r="118" spans="1:5" x14ac:dyDescent="0.25">
      <c r="A118" s="373" t="s">
        <v>373</v>
      </c>
      <c r="B118" s="325"/>
      <c r="C118" s="466" t="s">
        <v>352</v>
      </c>
      <c r="D118" s="450" t="s">
        <v>25</v>
      </c>
      <c r="E118" s="380">
        <v>28.9</v>
      </c>
    </row>
    <row r="119" spans="1:5" x14ac:dyDescent="0.25">
      <c r="A119" s="373" t="s">
        <v>277</v>
      </c>
      <c r="B119" s="325"/>
      <c r="C119" s="466" t="s">
        <v>351</v>
      </c>
      <c r="D119" s="450" t="s">
        <v>25</v>
      </c>
      <c r="E119" s="380">
        <v>28.9</v>
      </c>
    </row>
    <row r="120" spans="1:5" x14ac:dyDescent="0.25">
      <c r="A120" s="373" t="s">
        <v>374</v>
      </c>
      <c r="B120" s="325"/>
      <c r="C120" s="466" t="s">
        <v>350</v>
      </c>
      <c r="D120" s="450" t="s">
        <v>25</v>
      </c>
      <c r="E120" s="380">
        <v>28.9</v>
      </c>
    </row>
    <row r="121" spans="1:5" x14ac:dyDescent="0.25">
      <c r="A121" s="373" t="s">
        <v>375</v>
      </c>
      <c r="B121" s="325"/>
      <c r="C121" s="466" t="s">
        <v>355</v>
      </c>
      <c r="D121" s="450" t="s">
        <v>25</v>
      </c>
      <c r="E121" s="380">
        <v>28.9</v>
      </c>
    </row>
    <row r="122" spans="1:5" x14ac:dyDescent="0.25">
      <c r="A122" s="377" t="s">
        <v>386</v>
      </c>
      <c r="B122" s="459"/>
      <c r="C122" s="330" t="s">
        <v>586</v>
      </c>
      <c r="D122" s="457" t="s">
        <v>25</v>
      </c>
      <c r="E122" s="382">
        <v>28.9</v>
      </c>
    </row>
    <row r="123" spans="1:5" x14ac:dyDescent="0.25">
      <c r="A123" s="373" t="s">
        <v>376</v>
      </c>
      <c r="B123" s="325"/>
      <c r="C123" s="466" t="s">
        <v>356</v>
      </c>
      <c r="D123" s="450" t="s">
        <v>36</v>
      </c>
      <c r="E123" s="380">
        <v>1</v>
      </c>
    </row>
    <row r="124" spans="1:5" x14ac:dyDescent="0.25">
      <c r="A124" s="373" t="s">
        <v>377</v>
      </c>
      <c r="B124" s="325"/>
      <c r="C124" s="466" t="s">
        <v>156</v>
      </c>
      <c r="D124" s="450" t="s">
        <v>16</v>
      </c>
      <c r="E124" s="380">
        <v>9.6</v>
      </c>
    </row>
    <row r="125" spans="1:5" x14ac:dyDescent="0.25">
      <c r="A125" s="377" t="s">
        <v>415</v>
      </c>
      <c r="B125" s="459"/>
      <c r="C125" s="468" t="s">
        <v>109</v>
      </c>
      <c r="D125" s="457" t="s">
        <v>16</v>
      </c>
      <c r="E125" s="382">
        <f>E124*1.1</f>
        <v>10.56</v>
      </c>
    </row>
    <row r="126" spans="1:5" ht="29.25" customHeight="1" x14ac:dyDescent="0.25">
      <c r="A126" s="373" t="s">
        <v>378</v>
      </c>
      <c r="B126" s="325"/>
      <c r="C126" s="466" t="s">
        <v>154</v>
      </c>
      <c r="D126" s="450" t="s">
        <v>16</v>
      </c>
      <c r="E126" s="380">
        <v>88.12</v>
      </c>
    </row>
    <row r="127" spans="1:5" x14ac:dyDescent="0.25">
      <c r="A127" s="377" t="s">
        <v>379</v>
      </c>
      <c r="B127" s="459"/>
      <c r="C127" s="468" t="s">
        <v>109</v>
      </c>
      <c r="D127" s="457" t="s">
        <v>16</v>
      </c>
      <c r="E127" s="382">
        <f>E126*1.1</f>
        <v>96.932000000000016</v>
      </c>
    </row>
    <row r="128" spans="1:5" x14ac:dyDescent="0.25">
      <c r="A128" s="373" t="s">
        <v>380</v>
      </c>
      <c r="B128" s="325"/>
      <c r="C128" s="466" t="s">
        <v>18</v>
      </c>
      <c r="D128" s="450" t="s">
        <v>16</v>
      </c>
      <c r="E128" s="380">
        <v>88.12</v>
      </c>
    </row>
    <row r="129" spans="1:35" x14ac:dyDescent="0.25">
      <c r="A129" s="373" t="s">
        <v>381</v>
      </c>
      <c r="B129" s="325"/>
      <c r="C129" s="466" t="s">
        <v>74</v>
      </c>
      <c r="D129" s="450" t="s">
        <v>16</v>
      </c>
      <c r="E129" s="380">
        <v>0.96</v>
      </c>
    </row>
    <row r="130" spans="1:35" x14ac:dyDescent="0.25">
      <c r="A130" s="377" t="s">
        <v>387</v>
      </c>
      <c r="B130" s="459"/>
      <c r="C130" s="330" t="s">
        <v>109</v>
      </c>
      <c r="D130" s="457" t="s">
        <v>16</v>
      </c>
      <c r="E130" s="519">
        <f>E129*1.1</f>
        <v>1.056</v>
      </c>
    </row>
    <row r="131" spans="1:35" ht="29.25" customHeight="1" x14ac:dyDescent="0.25">
      <c r="A131" s="373" t="s">
        <v>382</v>
      </c>
      <c r="B131" s="325"/>
      <c r="C131" s="466" t="s">
        <v>121</v>
      </c>
      <c r="D131" s="450" t="s">
        <v>25</v>
      </c>
      <c r="E131" s="380">
        <v>30.4</v>
      </c>
    </row>
    <row r="132" spans="1:35" x14ac:dyDescent="0.25">
      <c r="A132" s="377" t="s">
        <v>416</v>
      </c>
      <c r="B132" s="459"/>
      <c r="C132" s="468" t="s">
        <v>122</v>
      </c>
      <c r="D132" s="457" t="s">
        <v>36</v>
      </c>
      <c r="E132" s="382">
        <v>5</v>
      </c>
    </row>
    <row r="133" spans="1:35" x14ac:dyDescent="0.25">
      <c r="A133" s="377"/>
      <c r="B133" s="459"/>
      <c r="C133" s="330" t="s">
        <v>123</v>
      </c>
      <c r="D133" s="461" t="s">
        <v>36</v>
      </c>
      <c r="E133" s="382">
        <v>11</v>
      </c>
    </row>
    <row r="134" spans="1:35" ht="30" x14ac:dyDescent="0.25">
      <c r="A134" s="377" t="s">
        <v>417</v>
      </c>
      <c r="B134" s="459"/>
      <c r="C134" s="330" t="s">
        <v>558</v>
      </c>
      <c r="D134" s="457" t="s">
        <v>25</v>
      </c>
      <c r="E134" s="382">
        <v>31.160000000000004</v>
      </c>
    </row>
    <row r="135" spans="1:35" ht="18" customHeight="1" x14ac:dyDescent="0.25">
      <c r="A135" s="373" t="s">
        <v>383</v>
      </c>
      <c r="B135" s="325"/>
      <c r="C135" s="466" t="s">
        <v>53</v>
      </c>
      <c r="D135" s="450" t="s">
        <v>36</v>
      </c>
      <c r="E135" s="380">
        <v>1</v>
      </c>
    </row>
    <row r="136" spans="1:35" x14ac:dyDescent="0.25">
      <c r="A136" s="373" t="s">
        <v>389</v>
      </c>
      <c r="B136" s="325"/>
      <c r="C136" s="466" t="s">
        <v>85</v>
      </c>
      <c r="D136" s="450" t="s">
        <v>36</v>
      </c>
      <c r="E136" s="380">
        <v>1</v>
      </c>
    </row>
    <row r="137" spans="1:35" x14ac:dyDescent="0.25">
      <c r="A137" s="377" t="s">
        <v>418</v>
      </c>
      <c r="B137" s="459"/>
      <c r="C137" s="468" t="s">
        <v>560</v>
      </c>
      <c r="D137" s="457" t="s">
        <v>36</v>
      </c>
      <c r="E137" s="382">
        <v>1</v>
      </c>
    </row>
    <row r="138" spans="1:35" ht="29.25" customHeight="1" x14ac:dyDescent="0.25">
      <c r="A138" s="373" t="s">
        <v>390</v>
      </c>
      <c r="B138" s="325"/>
      <c r="C138" s="466" t="s">
        <v>128</v>
      </c>
      <c r="D138" s="450" t="s">
        <v>159</v>
      </c>
      <c r="E138" s="380">
        <v>1</v>
      </c>
    </row>
    <row r="139" spans="1:35" x14ac:dyDescent="0.25">
      <c r="A139" s="373" t="s">
        <v>419</v>
      </c>
      <c r="B139" s="325"/>
      <c r="C139" s="466" t="s">
        <v>152</v>
      </c>
      <c r="D139" s="450" t="s">
        <v>25</v>
      </c>
      <c r="E139" s="380">
        <v>30.4</v>
      </c>
    </row>
    <row r="140" spans="1:35" ht="15.75" thickBot="1" x14ac:dyDescent="0.3">
      <c r="A140" s="522" t="s">
        <v>420</v>
      </c>
      <c r="B140" s="523"/>
      <c r="C140" s="524" t="s">
        <v>160</v>
      </c>
      <c r="D140" s="525" t="s">
        <v>25</v>
      </c>
      <c r="E140" s="423">
        <v>30.4</v>
      </c>
    </row>
    <row r="142" spans="1:35" ht="28.5" customHeight="1" x14ac:dyDescent="0.25">
      <c r="A142" s="487" t="s">
        <v>328</v>
      </c>
      <c r="B142" s="498"/>
      <c r="C142" s="498" t="s">
        <v>330</v>
      </c>
      <c r="D142" s="498"/>
      <c r="E142" s="498"/>
      <c r="F142" s="498"/>
      <c r="G142" s="498"/>
      <c r="H142" s="498"/>
      <c r="I142" s="487"/>
      <c r="J142" s="487"/>
      <c r="K142" s="487"/>
      <c r="L142" s="487"/>
      <c r="M142" s="487"/>
      <c r="N142" s="487"/>
      <c r="O142" s="487"/>
      <c r="P142" s="487"/>
      <c r="Q142" s="487"/>
      <c r="R142" s="487"/>
      <c r="S142" s="488"/>
      <c r="T142" s="489"/>
      <c r="U142" s="490"/>
      <c r="V142" s="490"/>
      <c r="W142" s="489"/>
      <c r="X142" s="490"/>
      <c r="Y142" s="490"/>
      <c r="Z142" s="489"/>
      <c r="AA142" s="490"/>
      <c r="AB142" s="490"/>
      <c r="AC142" s="489"/>
      <c r="AD142" s="490"/>
      <c r="AE142" s="490"/>
      <c r="AF142" s="489"/>
      <c r="AG142" s="491"/>
      <c r="AH142" s="491"/>
      <c r="AI142" s="492"/>
    </row>
    <row r="143" spans="1:35" ht="15.75" customHeight="1" x14ac:dyDescent="0.25">
      <c r="A143" s="487"/>
      <c r="B143" s="498"/>
      <c r="C143" s="498"/>
      <c r="D143" s="498"/>
      <c r="E143" s="498"/>
      <c r="F143" s="498"/>
      <c r="G143" s="498"/>
      <c r="H143" s="498"/>
      <c r="I143" s="487"/>
      <c r="J143" s="487"/>
      <c r="K143" s="487"/>
      <c r="L143" s="487"/>
      <c r="M143" s="487"/>
      <c r="N143" s="487"/>
      <c r="O143" s="487"/>
      <c r="P143" s="487"/>
      <c r="Q143" s="487"/>
      <c r="R143" s="487"/>
      <c r="S143" s="488"/>
      <c r="T143" s="489"/>
      <c r="U143" s="490"/>
      <c r="V143" s="490"/>
      <c r="W143" s="489"/>
      <c r="X143" s="490"/>
      <c r="Y143" s="490"/>
      <c r="Z143" s="489"/>
      <c r="AA143" s="490"/>
      <c r="AB143" s="490"/>
      <c r="AC143" s="489"/>
      <c r="AD143" s="490"/>
      <c r="AE143" s="490"/>
      <c r="AF143" s="489"/>
      <c r="AG143" s="491"/>
      <c r="AH143" s="491"/>
      <c r="AI143" s="491"/>
    </row>
    <row r="144" spans="1:35" ht="15.75" customHeight="1" x14ac:dyDescent="0.25">
      <c r="A144" s="487" t="s">
        <v>329</v>
      </c>
      <c r="B144" s="498"/>
      <c r="C144" s="498" t="s">
        <v>331</v>
      </c>
      <c r="D144" s="498"/>
      <c r="E144" s="498"/>
      <c r="F144" s="498"/>
      <c r="G144" s="498"/>
      <c r="H144" s="498"/>
      <c r="I144" s="487"/>
      <c r="J144" s="487"/>
      <c r="K144" s="487"/>
      <c r="L144" s="487"/>
      <c r="M144" s="487"/>
      <c r="N144" s="487"/>
      <c r="O144" s="487"/>
      <c r="P144" s="487"/>
      <c r="Q144" s="487"/>
      <c r="R144" s="487"/>
      <c r="S144" s="488"/>
      <c r="T144" s="489"/>
      <c r="U144" s="490"/>
      <c r="V144" s="490"/>
      <c r="W144" s="489"/>
      <c r="X144" s="490"/>
      <c r="Y144" s="490"/>
      <c r="Z144" s="489"/>
      <c r="AA144" s="490"/>
      <c r="AB144" s="490"/>
      <c r="AC144" s="489"/>
      <c r="AD144" s="490"/>
      <c r="AE144" s="490"/>
      <c r="AF144" s="489"/>
      <c r="AG144" s="491"/>
      <c r="AH144" s="491"/>
      <c r="AI144" s="492"/>
    </row>
    <row r="145" spans="1:35" ht="15.75" customHeight="1" x14ac:dyDescent="0.25">
      <c r="A145" s="493"/>
      <c r="B145" s="499"/>
      <c r="C145" s="499"/>
      <c r="D145" s="499"/>
      <c r="E145" s="499"/>
      <c r="F145" s="500"/>
      <c r="G145" s="500"/>
      <c r="H145" s="500"/>
      <c r="I145" s="495"/>
      <c r="J145" s="495"/>
      <c r="K145" s="495"/>
      <c r="L145" s="495"/>
      <c r="M145" s="495"/>
      <c r="N145" s="495"/>
      <c r="O145" s="495"/>
      <c r="P145" s="495"/>
      <c r="Q145" s="495"/>
      <c r="R145" s="495"/>
      <c r="S145" s="495"/>
      <c r="T145" s="494"/>
      <c r="U145" s="494"/>
      <c r="V145" s="494"/>
      <c r="W145" s="494"/>
      <c r="X145" s="494"/>
      <c r="Y145" s="496"/>
      <c r="Z145" s="497"/>
      <c r="AA145" s="497"/>
      <c r="AB145" s="497"/>
      <c r="AC145" s="497"/>
      <c r="AD145" s="497"/>
      <c r="AE145" s="497"/>
      <c r="AF145" s="491"/>
      <c r="AG145" s="491"/>
      <c r="AH145" s="491"/>
      <c r="AI145" s="491"/>
    </row>
    <row r="146" spans="1:35" ht="15.75" customHeight="1" x14ac:dyDescent="0.25">
      <c r="A146" s="487" t="s">
        <v>333</v>
      </c>
      <c r="B146" s="498"/>
      <c r="C146" s="498" t="s">
        <v>332</v>
      </c>
      <c r="D146" s="498"/>
      <c r="E146" s="498"/>
      <c r="F146" s="500"/>
      <c r="G146" s="500"/>
      <c r="H146" s="500"/>
      <c r="I146" s="495"/>
      <c r="J146" s="495"/>
      <c r="K146" s="495"/>
      <c r="L146" s="495"/>
      <c r="M146" s="495"/>
      <c r="N146" s="495"/>
      <c r="O146" s="495"/>
      <c r="P146" s="495"/>
      <c r="Q146" s="495"/>
      <c r="R146" s="495"/>
      <c r="S146" s="495"/>
      <c r="T146" s="494"/>
      <c r="U146" s="494"/>
      <c r="V146" s="494"/>
      <c r="W146" s="494"/>
      <c r="X146" s="494"/>
      <c r="Y146" s="496"/>
      <c r="Z146" s="497"/>
      <c r="AA146" s="497"/>
      <c r="AB146" s="497"/>
      <c r="AC146" s="497"/>
      <c r="AD146" s="497"/>
      <c r="AE146" s="497"/>
      <c r="AF146" s="489"/>
      <c r="AG146" s="491"/>
      <c r="AH146" s="491"/>
      <c r="AI146" s="492"/>
    </row>
  </sheetData>
  <mergeCells count="6">
    <mergeCell ref="A17:E17"/>
    <mergeCell ref="A18:E18"/>
    <mergeCell ref="A19:A20"/>
    <mergeCell ref="C19:C20"/>
    <mergeCell ref="D19:D20"/>
    <mergeCell ref="E19:E20"/>
  </mergeCells>
  <phoneticPr fontId="16" type="noConversion"/>
  <conditionalFormatting sqref="Y142:AI146">
    <cfRule type="cellIs" dxfId="4" priority="1" operator="lessThan">
      <formula>0</formula>
    </cfRule>
  </conditionalFormatting>
  <pageMargins left="0.31496062992125984" right="0.31496062992125984" top="0.35433070866141736" bottom="0.35433070866141736" header="0.11811023622047245" footer="0.11811023622047245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C5A28-5CDA-4A6A-B50D-C82163A87454}">
  <sheetPr>
    <tabColor rgb="FFFF0000"/>
  </sheetPr>
  <dimension ref="A1:T73"/>
  <sheetViews>
    <sheetView view="pageBreakPreview" zoomScaleNormal="100" zoomScaleSheetLayoutView="100" workbookViewId="0">
      <selection activeCell="A14" sqref="A14"/>
    </sheetView>
  </sheetViews>
  <sheetFormatPr defaultRowHeight="12.75" outlineLevelCol="1" x14ac:dyDescent="0.25"/>
  <cols>
    <col min="1" max="1" width="6.85546875" style="579" customWidth="1"/>
    <col min="2" max="2" width="12.28515625" style="579" customWidth="1"/>
    <col min="3" max="3" width="62.5703125" style="579" customWidth="1"/>
    <col min="4" max="4" width="6" style="581" customWidth="1"/>
    <col min="5" max="5" width="12.85546875" style="579" customWidth="1"/>
    <col min="6" max="11" width="6.7109375" style="579" hidden="1" customWidth="1" outlineLevel="1"/>
    <col min="12" max="13" width="7" style="579" hidden="1" customWidth="1" outlineLevel="1"/>
    <col min="14" max="15" width="6.7109375" style="579" hidden="1" customWidth="1" outlineLevel="1"/>
    <col min="16" max="19" width="7" style="579" hidden="1" customWidth="1" outlineLevel="1"/>
    <col min="20" max="20" width="39.5703125" style="580" customWidth="1" collapsed="1"/>
    <col min="21" max="16384" width="9.140625" style="579"/>
  </cols>
  <sheetData>
    <row r="1" spans="1:20" s="612" customFormat="1" ht="15" customHeight="1" x14ac:dyDescent="0.25">
      <c r="A1" s="615"/>
      <c r="B1" s="615"/>
      <c r="C1" s="615"/>
      <c r="D1" s="615"/>
      <c r="E1" s="614"/>
      <c r="F1" s="613"/>
      <c r="G1" s="613"/>
      <c r="H1" s="613"/>
      <c r="I1" s="613"/>
      <c r="J1" s="613"/>
      <c r="K1" s="613"/>
      <c r="L1" s="613"/>
      <c r="M1" s="613"/>
      <c r="N1" s="613"/>
      <c r="O1" s="613"/>
      <c r="P1" s="613"/>
      <c r="Q1" s="613"/>
      <c r="R1" s="613"/>
      <c r="S1" s="613"/>
      <c r="T1" s="613"/>
    </row>
    <row r="2" spans="1:20" s="605" customFormat="1" ht="15" customHeight="1" x14ac:dyDescent="0.25">
      <c r="A2" s="611" t="s">
        <v>317</v>
      </c>
      <c r="B2" s="611"/>
      <c r="C2" s="611"/>
      <c r="D2" s="611"/>
      <c r="E2" s="607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603"/>
      <c r="T2" s="630" t="s">
        <v>316</v>
      </c>
    </row>
    <row r="3" spans="1:20" s="605" customFormat="1" ht="15" customHeight="1" x14ac:dyDescent="0.25">
      <c r="A3" s="610" t="s">
        <v>556</v>
      </c>
      <c r="B3" s="610"/>
      <c r="C3" s="610"/>
      <c r="D3" s="610"/>
      <c r="E3" s="607"/>
      <c r="F3" s="603"/>
      <c r="G3" s="603"/>
      <c r="H3" s="603"/>
      <c r="I3" s="603"/>
      <c r="J3" s="603"/>
      <c r="K3" s="603"/>
      <c r="L3" s="603"/>
      <c r="M3" s="603"/>
      <c r="N3" s="603"/>
      <c r="O3" s="603"/>
      <c r="P3" s="603"/>
      <c r="Q3" s="603"/>
      <c r="R3" s="603"/>
      <c r="S3" s="603"/>
      <c r="T3" s="627" t="s">
        <v>318</v>
      </c>
    </row>
    <row r="4" spans="1:20" s="605" customFormat="1" ht="15" customHeight="1" x14ac:dyDescent="0.25">
      <c r="A4" s="611" t="s">
        <v>320</v>
      </c>
      <c r="B4" s="611"/>
      <c r="C4" s="611"/>
      <c r="D4" s="611"/>
      <c r="E4" s="607"/>
      <c r="F4" s="603"/>
      <c r="G4" s="603"/>
      <c r="H4" s="603"/>
      <c r="I4" s="603"/>
      <c r="J4" s="603"/>
      <c r="K4" s="603"/>
      <c r="L4" s="603"/>
      <c r="M4" s="603"/>
      <c r="N4" s="603"/>
      <c r="O4" s="603"/>
      <c r="P4" s="603"/>
      <c r="Q4" s="603"/>
      <c r="R4" s="603"/>
      <c r="S4" s="603"/>
      <c r="T4" s="629"/>
    </row>
    <row r="5" spans="1:20" s="605" customFormat="1" ht="15" customHeight="1" x14ac:dyDescent="0.25">
      <c r="A5" s="610" t="s">
        <v>322</v>
      </c>
      <c r="B5" s="610"/>
      <c r="C5" s="610"/>
      <c r="D5" s="610"/>
      <c r="E5" s="607"/>
      <c r="F5" s="603"/>
      <c r="G5" s="603"/>
      <c r="H5" s="603"/>
      <c r="I5" s="603"/>
      <c r="J5" s="603"/>
      <c r="K5" s="603"/>
      <c r="L5" s="603"/>
      <c r="M5" s="603"/>
      <c r="N5" s="603"/>
      <c r="O5" s="603"/>
      <c r="P5" s="603"/>
      <c r="Q5" s="603"/>
      <c r="R5" s="603"/>
      <c r="S5" s="603"/>
      <c r="T5" s="627" t="s">
        <v>321</v>
      </c>
    </row>
    <row r="6" spans="1:20" s="605" customFormat="1" ht="15" customHeight="1" x14ac:dyDescent="0.25">
      <c r="A6" s="610" t="s">
        <v>323</v>
      </c>
      <c r="B6" s="610"/>
      <c r="C6" s="610"/>
      <c r="D6" s="610"/>
      <c r="E6" s="607"/>
      <c r="F6" s="603"/>
      <c r="G6" s="603"/>
      <c r="H6" s="603"/>
      <c r="I6" s="603"/>
      <c r="J6" s="603"/>
      <c r="K6" s="603"/>
      <c r="L6" s="603"/>
      <c r="M6" s="603"/>
      <c r="N6" s="603"/>
      <c r="O6" s="603"/>
      <c r="P6" s="603"/>
      <c r="Q6" s="603"/>
      <c r="R6" s="603"/>
      <c r="S6" s="603"/>
      <c r="T6" s="628"/>
    </row>
    <row r="7" spans="1:20" s="605" customFormat="1" ht="15" customHeight="1" x14ac:dyDescent="0.25">
      <c r="A7" s="610" t="s">
        <v>555</v>
      </c>
      <c r="B7" s="610"/>
      <c r="C7" s="610"/>
      <c r="D7" s="610"/>
      <c r="E7" s="607"/>
      <c r="F7" s="603"/>
      <c r="G7" s="603"/>
      <c r="H7" s="603"/>
      <c r="I7" s="603"/>
      <c r="J7" s="603"/>
      <c r="K7" s="603"/>
      <c r="L7" s="603"/>
      <c r="M7" s="603"/>
      <c r="N7" s="603"/>
      <c r="O7" s="603"/>
      <c r="P7" s="603"/>
      <c r="Q7" s="603"/>
      <c r="R7" s="603"/>
      <c r="S7" s="603"/>
      <c r="T7" s="627" t="s">
        <v>360</v>
      </c>
    </row>
    <row r="8" spans="1:20" s="605" customFormat="1" ht="15" customHeight="1" x14ac:dyDescent="0.4">
      <c r="A8" s="609"/>
      <c r="B8" s="609"/>
      <c r="C8" s="609"/>
      <c r="D8" s="609"/>
      <c r="E8" s="607"/>
      <c r="F8" s="603"/>
      <c r="G8" s="603"/>
      <c r="H8" s="603"/>
      <c r="I8" s="603"/>
      <c r="J8" s="603"/>
      <c r="K8" s="603"/>
      <c r="L8" s="603"/>
      <c r="M8" s="603"/>
      <c r="N8" s="603"/>
      <c r="O8" s="603"/>
      <c r="P8" s="603"/>
      <c r="Q8" s="603"/>
      <c r="R8" s="603"/>
      <c r="S8" s="603"/>
      <c r="T8" s="627"/>
    </row>
    <row r="9" spans="1:20" s="605" customFormat="1" ht="15" customHeight="1" x14ac:dyDescent="0.4">
      <c r="A9" s="609"/>
      <c r="B9" s="609"/>
      <c r="C9" s="609"/>
      <c r="D9" s="609"/>
      <c r="E9" s="607"/>
      <c r="F9" s="603"/>
      <c r="G9" s="603"/>
      <c r="H9" s="603"/>
      <c r="I9" s="603"/>
      <c r="J9" s="603"/>
      <c r="K9" s="603"/>
      <c r="L9" s="603"/>
      <c r="M9" s="603"/>
      <c r="N9" s="603"/>
      <c r="O9" s="603"/>
      <c r="P9" s="603"/>
      <c r="Q9" s="603"/>
      <c r="R9" s="603"/>
      <c r="S9" s="603"/>
      <c r="T9" s="627"/>
    </row>
    <row r="10" spans="1:20" s="605" customFormat="1" ht="15" customHeight="1" x14ac:dyDescent="0.25">
      <c r="A10" s="608"/>
      <c r="B10" s="608"/>
      <c r="C10" s="608"/>
      <c r="D10" s="608"/>
      <c r="E10" s="607"/>
      <c r="F10" s="603"/>
      <c r="G10" s="603"/>
      <c r="H10" s="603"/>
      <c r="I10" s="603"/>
      <c r="J10" s="603"/>
      <c r="K10" s="603"/>
      <c r="L10" s="603"/>
      <c r="M10" s="603"/>
      <c r="N10" s="603"/>
      <c r="O10" s="603"/>
      <c r="P10" s="603"/>
      <c r="Q10" s="603"/>
      <c r="R10" s="603"/>
      <c r="S10" s="603"/>
      <c r="T10" s="627" t="s">
        <v>325</v>
      </c>
    </row>
    <row r="11" spans="1:20" s="605" customFormat="1" ht="15" customHeight="1" x14ac:dyDescent="0.25">
      <c r="A11" s="710" t="s">
        <v>576</v>
      </c>
      <c r="B11" s="710"/>
      <c r="C11" s="710"/>
      <c r="D11" s="710"/>
      <c r="E11" s="710"/>
      <c r="F11" s="710"/>
      <c r="G11" s="710"/>
      <c r="H11" s="710"/>
      <c r="I11" s="710"/>
      <c r="J11" s="710"/>
      <c r="K11" s="710"/>
      <c r="L11" s="710"/>
      <c r="M11" s="710"/>
      <c r="N11" s="710"/>
      <c r="O11" s="710"/>
      <c r="P11" s="710"/>
      <c r="Q11" s="710"/>
      <c r="R11" s="710"/>
      <c r="S11" s="710"/>
      <c r="T11" s="710"/>
    </row>
    <row r="12" spans="1:20" s="605" customFormat="1" ht="15" customHeight="1" x14ac:dyDescent="0.25">
      <c r="A12" s="710"/>
      <c r="B12" s="710"/>
      <c r="C12" s="710"/>
      <c r="D12" s="710"/>
      <c r="E12" s="710"/>
      <c r="F12" s="710"/>
      <c r="G12" s="710"/>
      <c r="H12" s="710"/>
      <c r="I12" s="710"/>
      <c r="J12" s="710"/>
      <c r="K12" s="710"/>
      <c r="L12" s="710"/>
      <c r="M12" s="710"/>
      <c r="N12" s="710"/>
      <c r="O12" s="710"/>
      <c r="P12" s="710"/>
      <c r="Q12" s="710"/>
      <c r="R12" s="710"/>
      <c r="S12" s="710"/>
      <c r="T12" s="710"/>
    </row>
    <row r="13" spans="1:20" s="605" customFormat="1" ht="47.25" customHeight="1" x14ac:dyDescent="0.25">
      <c r="A13" s="711" t="s">
        <v>578</v>
      </c>
      <c r="B13" s="711"/>
      <c r="C13" s="712"/>
      <c r="D13" s="712"/>
      <c r="E13" s="712"/>
      <c r="F13" s="712"/>
      <c r="G13" s="712"/>
      <c r="H13" s="712"/>
      <c r="I13" s="712"/>
      <c r="J13" s="712"/>
      <c r="K13" s="712"/>
      <c r="L13" s="712"/>
      <c r="M13" s="712"/>
      <c r="N13" s="712"/>
      <c r="O13" s="712"/>
      <c r="P13" s="712"/>
      <c r="Q13" s="712"/>
      <c r="R13" s="712"/>
      <c r="S13" s="712"/>
      <c r="T13" s="712"/>
    </row>
    <row r="14" spans="1:20" s="605" customFormat="1" ht="15" customHeight="1" thickBot="1" x14ac:dyDescent="0.3">
      <c r="A14" s="606"/>
      <c r="B14" s="606"/>
      <c r="C14" s="713"/>
      <c r="D14" s="713"/>
      <c r="E14" s="713"/>
      <c r="F14" s="713"/>
      <c r="G14" s="713"/>
      <c r="H14" s="713"/>
      <c r="I14" s="713"/>
      <c r="J14" s="713"/>
      <c r="K14" s="713"/>
      <c r="L14" s="713"/>
      <c r="M14" s="713"/>
      <c r="N14" s="713"/>
      <c r="O14" s="713"/>
      <c r="P14" s="713"/>
      <c r="Q14" s="713"/>
      <c r="R14" s="713"/>
      <c r="S14" s="713"/>
      <c r="T14" s="713"/>
    </row>
    <row r="15" spans="1:20" s="603" customFormat="1" ht="15" customHeight="1" x14ac:dyDescent="0.25">
      <c r="A15" s="714" t="s">
        <v>554</v>
      </c>
      <c r="B15" s="717" t="s">
        <v>553</v>
      </c>
      <c r="C15" s="707" t="s">
        <v>552</v>
      </c>
      <c r="D15" s="707" t="s">
        <v>551</v>
      </c>
      <c r="E15" s="707" t="s">
        <v>550</v>
      </c>
      <c r="F15" s="707" t="s">
        <v>549</v>
      </c>
      <c r="G15" s="707" t="s">
        <v>548</v>
      </c>
      <c r="H15" s="707" t="s">
        <v>547</v>
      </c>
      <c r="I15" s="707" t="s">
        <v>546</v>
      </c>
      <c r="J15" s="707" t="s">
        <v>545</v>
      </c>
      <c r="K15" s="707" t="s">
        <v>544</v>
      </c>
      <c r="L15" s="707" t="s">
        <v>543</v>
      </c>
      <c r="M15" s="707" t="s">
        <v>542</v>
      </c>
      <c r="N15" s="707" t="s">
        <v>541</v>
      </c>
      <c r="O15" s="707" t="s">
        <v>540</v>
      </c>
      <c r="P15" s="707" t="s">
        <v>539</v>
      </c>
      <c r="Q15" s="707" t="s">
        <v>538</v>
      </c>
      <c r="R15" s="707" t="s">
        <v>537</v>
      </c>
      <c r="S15" s="707" t="s">
        <v>536</v>
      </c>
      <c r="T15" s="720" t="s">
        <v>535</v>
      </c>
    </row>
    <row r="16" spans="1:20" s="603" customFormat="1" ht="15" customHeight="1" x14ac:dyDescent="0.25">
      <c r="A16" s="715"/>
      <c r="B16" s="718"/>
      <c r="C16" s="708"/>
      <c r="D16" s="708"/>
      <c r="E16" s="708"/>
      <c r="F16" s="708"/>
      <c r="G16" s="708"/>
      <c r="H16" s="708"/>
      <c r="I16" s="708"/>
      <c r="J16" s="708"/>
      <c r="K16" s="708"/>
      <c r="L16" s="708"/>
      <c r="M16" s="708"/>
      <c r="N16" s="708"/>
      <c r="O16" s="708"/>
      <c r="P16" s="708"/>
      <c r="Q16" s="708"/>
      <c r="R16" s="708"/>
      <c r="S16" s="708"/>
      <c r="T16" s="721"/>
    </row>
    <row r="17" spans="1:20" s="603" customFormat="1" ht="36" customHeight="1" x14ac:dyDescent="0.25">
      <c r="A17" s="715"/>
      <c r="B17" s="718"/>
      <c r="C17" s="708"/>
      <c r="D17" s="708"/>
      <c r="E17" s="708"/>
      <c r="F17" s="708"/>
      <c r="G17" s="708"/>
      <c r="H17" s="708"/>
      <c r="I17" s="708"/>
      <c r="J17" s="708"/>
      <c r="K17" s="708"/>
      <c r="L17" s="708"/>
      <c r="M17" s="708"/>
      <c r="N17" s="708"/>
      <c r="O17" s="708"/>
      <c r="P17" s="708"/>
      <c r="Q17" s="708"/>
      <c r="R17" s="708"/>
      <c r="S17" s="708"/>
      <c r="T17" s="721"/>
    </row>
    <row r="18" spans="1:20" s="603" customFormat="1" ht="68.25" customHeight="1" thickBot="1" x14ac:dyDescent="0.3">
      <c r="A18" s="716"/>
      <c r="B18" s="719"/>
      <c r="C18" s="709"/>
      <c r="D18" s="709"/>
      <c r="E18" s="709"/>
      <c r="F18" s="709"/>
      <c r="G18" s="709"/>
      <c r="H18" s="709"/>
      <c r="I18" s="709"/>
      <c r="J18" s="709"/>
      <c r="K18" s="709"/>
      <c r="L18" s="709"/>
      <c r="M18" s="709"/>
      <c r="N18" s="709"/>
      <c r="O18" s="709"/>
      <c r="P18" s="709"/>
      <c r="Q18" s="709"/>
      <c r="R18" s="709"/>
      <c r="S18" s="709"/>
      <c r="T18" s="604" t="s">
        <v>534</v>
      </c>
    </row>
    <row r="19" spans="1:20" s="603" customFormat="1" ht="13.5" x14ac:dyDescent="0.25">
      <c r="A19" s="722" t="s">
        <v>533</v>
      </c>
      <c r="B19" s="723"/>
      <c r="C19" s="723"/>
      <c r="D19" s="723"/>
      <c r="E19" s="723"/>
      <c r="F19" s="723"/>
      <c r="G19" s="723"/>
      <c r="H19" s="723"/>
      <c r="I19" s="723"/>
      <c r="J19" s="723"/>
      <c r="K19" s="723"/>
      <c r="L19" s="723"/>
      <c r="M19" s="723"/>
      <c r="N19" s="723"/>
      <c r="O19" s="723"/>
      <c r="P19" s="723"/>
      <c r="Q19" s="723"/>
      <c r="R19" s="723"/>
      <c r="S19" s="723"/>
      <c r="T19" s="724"/>
    </row>
    <row r="20" spans="1:20" x14ac:dyDescent="0.25">
      <c r="A20" s="599" t="s">
        <v>21</v>
      </c>
      <c r="B20" s="591"/>
      <c r="C20" s="593" t="s">
        <v>532</v>
      </c>
      <c r="D20" s="619" t="s">
        <v>16</v>
      </c>
      <c r="E20" s="592"/>
      <c r="F20" s="591"/>
      <c r="G20" s="591"/>
      <c r="H20" s="591"/>
      <c r="I20" s="591"/>
      <c r="J20" s="591"/>
      <c r="K20" s="591"/>
      <c r="L20" s="591"/>
      <c r="M20" s="591"/>
      <c r="N20" s="591"/>
      <c r="O20" s="591"/>
      <c r="P20" s="591"/>
      <c r="Q20" s="591"/>
      <c r="R20" s="591"/>
      <c r="S20" s="591"/>
      <c r="T20" s="590">
        <v>699.23</v>
      </c>
    </row>
    <row r="21" spans="1:20" ht="13.5" thickBot="1" x14ac:dyDescent="0.3">
      <c r="A21" s="602" t="s">
        <v>22</v>
      </c>
      <c r="B21" s="596"/>
      <c r="C21" s="598" t="s">
        <v>531</v>
      </c>
      <c r="D21" s="626" t="s">
        <v>16</v>
      </c>
      <c r="E21" s="597"/>
      <c r="F21" s="596"/>
      <c r="G21" s="596"/>
      <c r="H21" s="596"/>
      <c r="I21" s="596"/>
      <c r="J21" s="596"/>
      <c r="K21" s="596"/>
      <c r="L21" s="596"/>
      <c r="M21" s="596"/>
      <c r="N21" s="596"/>
      <c r="O21" s="596"/>
      <c r="P21" s="596"/>
      <c r="Q21" s="596"/>
      <c r="R21" s="596"/>
      <c r="S21" s="596"/>
      <c r="T21" s="595">
        <v>3.43</v>
      </c>
    </row>
    <row r="22" spans="1:20" ht="13.5" x14ac:dyDescent="0.25">
      <c r="A22" s="722" t="s">
        <v>530</v>
      </c>
      <c r="B22" s="723"/>
      <c r="C22" s="723"/>
      <c r="D22" s="723"/>
      <c r="E22" s="723"/>
      <c r="F22" s="723"/>
      <c r="G22" s="723"/>
      <c r="H22" s="723"/>
      <c r="I22" s="723"/>
      <c r="J22" s="723"/>
      <c r="K22" s="723"/>
      <c r="L22" s="723"/>
      <c r="M22" s="723"/>
      <c r="N22" s="723"/>
      <c r="O22" s="723"/>
      <c r="P22" s="723"/>
      <c r="Q22" s="723"/>
      <c r="R22" s="723"/>
      <c r="S22" s="723"/>
      <c r="T22" s="724"/>
    </row>
    <row r="23" spans="1:20" s="580" customFormat="1" ht="15.75" x14ac:dyDescent="0.25">
      <c r="A23" s="625" t="s">
        <v>21</v>
      </c>
      <c r="B23" s="624"/>
      <c r="C23" s="620" t="s">
        <v>529</v>
      </c>
      <c r="D23" s="619" t="s">
        <v>36</v>
      </c>
      <c r="E23" s="623"/>
      <c r="F23" s="601"/>
      <c r="G23" s="601"/>
      <c r="H23" s="622"/>
      <c r="I23" s="600"/>
      <c r="J23" s="600"/>
      <c r="K23" s="600"/>
      <c r="L23" s="600"/>
      <c r="M23" s="600"/>
      <c r="N23" s="600"/>
      <c r="O23" s="600"/>
      <c r="P23" s="600"/>
      <c r="Q23" s="600"/>
      <c r="R23" s="600"/>
      <c r="S23" s="591"/>
      <c r="T23" s="621"/>
    </row>
    <row r="24" spans="1:20" x14ac:dyDescent="0.25">
      <c r="A24" s="599" t="s">
        <v>528</v>
      </c>
      <c r="B24" s="591"/>
      <c r="C24" s="593" t="s">
        <v>502</v>
      </c>
      <c r="D24" s="619" t="s">
        <v>36</v>
      </c>
      <c r="E24" s="592"/>
      <c r="F24" s="591"/>
      <c r="G24" s="591"/>
      <c r="H24" s="591"/>
      <c r="I24" s="591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0">
        <v>10</v>
      </c>
    </row>
    <row r="25" spans="1:20" x14ac:dyDescent="0.25">
      <c r="A25" s="599" t="s">
        <v>527</v>
      </c>
      <c r="B25" s="591"/>
      <c r="C25" s="593" t="s">
        <v>501</v>
      </c>
      <c r="D25" s="619" t="s">
        <v>36</v>
      </c>
      <c r="E25" s="592"/>
      <c r="F25" s="591"/>
      <c r="G25" s="591"/>
      <c r="H25" s="591"/>
      <c r="I25" s="591"/>
      <c r="J25" s="591"/>
      <c r="K25" s="591"/>
      <c r="L25" s="591"/>
      <c r="M25" s="591"/>
      <c r="N25" s="591"/>
      <c r="O25" s="591"/>
      <c r="P25" s="591"/>
      <c r="Q25" s="591"/>
      <c r="R25" s="591"/>
      <c r="S25" s="591"/>
      <c r="T25" s="590">
        <v>11</v>
      </c>
    </row>
    <row r="26" spans="1:20" x14ac:dyDescent="0.25">
      <c r="A26" s="599" t="s">
        <v>526</v>
      </c>
      <c r="B26" s="591"/>
      <c r="C26" s="593" t="s">
        <v>286</v>
      </c>
      <c r="D26" s="619" t="s">
        <v>36</v>
      </c>
      <c r="E26" s="592"/>
      <c r="F26" s="591"/>
      <c r="G26" s="591"/>
      <c r="H26" s="591"/>
      <c r="I26" s="591"/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0">
        <v>4</v>
      </c>
    </row>
    <row r="27" spans="1:20" x14ac:dyDescent="0.25">
      <c r="A27" s="599" t="s">
        <v>525</v>
      </c>
      <c r="B27" s="591"/>
      <c r="C27" s="593" t="s">
        <v>522</v>
      </c>
      <c r="D27" s="619" t="s">
        <v>36</v>
      </c>
      <c r="E27" s="592"/>
      <c r="F27" s="591"/>
      <c r="G27" s="591"/>
      <c r="H27" s="591"/>
      <c r="I27" s="591"/>
      <c r="J27" s="591"/>
      <c r="K27" s="591"/>
      <c r="L27" s="591"/>
      <c r="M27" s="591"/>
      <c r="N27" s="591"/>
      <c r="O27" s="591"/>
      <c r="P27" s="591"/>
      <c r="Q27" s="591"/>
      <c r="R27" s="591"/>
      <c r="S27" s="591"/>
      <c r="T27" s="590">
        <v>9</v>
      </c>
    </row>
    <row r="28" spans="1:20" x14ac:dyDescent="0.25">
      <c r="A28" s="599" t="s">
        <v>524</v>
      </c>
      <c r="B28" s="591"/>
      <c r="C28" s="593" t="s">
        <v>500</v>
      </c>
      <c r="D28" s="619" t="s">
        <v>36</v>
      </c>
      <c r="E28" s="592"/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0">
        <v>9</v>
      </c>
    </row>
    <row r="29" spans="1:20" x14ac:dyDescent="0.25">
      <c r="A29" s="599" t="s">
        <v>523</v>
      </c>
      <c r="B29" s="591"/>
      <c r="C29" s="593" t="s">
        <v>499</v>
      </c>
      <c r="D29" s="619" t="s">
        <v>36</v>
      </c>
      <c r="E29" s="592"/>
      <c r="F29" s="591"/>
      <c r="G29" s="591"/>
      <c r="H29" s="591"/>
      <c r="I29" s="591"/>
      <c r="J29" s="591"/>
      <c r="K29" s="591"/>
      <c r="L29" s="591"/>
      <c r="M29" s="591"/>
      <c r="N29" s="591"/>
      <c r="O29" s="591"/>
      <c r="P29" s="591"/>
      <c r="Q29" s="591"/>
      <c r="R29" s="591"/>
      <c r="S29" s="591"/>
      <c r="T29" s="590">
        <v>22</v>
      </c>
    </row>
    <row r="30" spans="1:20" x14ac:dyDescent="0.25">
      <c r="A30" s="599" t="s">
        <v>521</v>
      </c>
      <c r="B30" s="591"/>
      <c r="C30" s="593" t="s">
        <v>518</v>
      </c>
      <c r="D30" s="619" t="s">
        <v>36</v>
      </c>
      <c r="E30" s="592"/>
      <c r="F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0">
        <v>3</v>
      </c>
    </row>
    <row r="31" spans="1:20" x14ac:dyDescent="0.25">
      <c r="A31" s="599" t="s">
        <v>520</v>
      </c>
      <c r="B31" s="591"/>
      <c r="C31" s="593" t="s">
        <v>507</v>
      </c>
      <c r="D31" s="619" t="s">
        <v>36</v>
      </c>
      <c r="E31" s="592"/>
      <c r="F31" s="591"/>
      <c r="G31" s="591"/>
      <c r="H31" s="591"/>
      <c r="I31" s="591"/>
      <c r="J31" s="591"/>
      <c r="K31" s="591"/>
      <c r="L31" s="591"/>
      <c r="M31" s="591"/>
      <c r="N31" s="591"/>
      <c r="O31" s="591"/>
      <c r="P31" s="591"/>
      <c r="Q31" s="591"/>
      <c r="R31" s="591"/>
      <c r="S31" s="591"/>
      <c r="T31" s="590">
        <v>5</v>
      </c>
    </row>
    <row r="32" spans="1:20" x14ac:dyDescent="0.25">
      <c r="A32" s="599" t="s">
        <v>519</v>
      </c>
      <c r="B32" s="591"/>
      <c r="C32" s="593" t="s">
        <v>343</v>
      </c>
      <c r="D32" s="619" t="s">
        <v>36</v>
      </c>
      <c r="E32" s="592"/>
      <c r="F32" s="591"/>
      <c r="G32" s="591"/>
      <c r="H32" s="591"/>
      <c r="I32" s="591"/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0">
        <v>1</v>
      </c>
    </row>
    <row r="33" spans="1:20" ht="13.5" x14ac:dyDescent="0.25">
      <c r="A33" s="594">
        <v>2</v>
      </c>
      <c r="B33" s="591"/>
      <c r="C33" s="620" t="s">
        <v>517</v>
      </c>
      <c r="D33" s="619" t="s">
        <v>36</v>
      </c>
      <c r="E33" s="592"/>
      <c r="F33" s="591"/>
      <c r="G33" s="591"/>
      <c r="H33" s="591"/>
      <c r="I33" s="591"/>
      <c r="J33" s="591"/>
      <c r="K33" s="591"/>
      <c r="L33" s="591"/>
      <c r="M33" s="591"/>
      <c r="N33" s="591"/>
      <c r="O33" s="591"/>
      <c r="P33" s="591"/>
      <c r="Q33" s="591"/>
      <c r="R33" s="591"/>
      <c r="S33" s="591"/>
      <c r="T33" s="590"/>
    </row>
    <row r="34" spans="1:20" x14ac:dyDescent="0.25">
      <c r="A34" s="599" t="s">
        <v>516</v>
      </c>
      <c r="B34" s="591"/>
      <c r="C34" s="593" t="s">
        <v>502</v>
      </c>
      <c r="D34" s="619" t="s">
        <v>515</v>
      </c>
      <c r="E34" s="592"/>
      <c r="F34" s="591"/>
      <c r="G34" s="591"/>
      <c r="H34" s="591"/>
      <c r="I34" s="591"/>
      <c r="J34" s="591"/>
      <c r="K34" s="591"/>
      <c r="L34" s="591"/>
      <c r="M34" s="591"/>
      <c r="N34" s="591"/>
      <c r="O34" s="591"/>
      <c r="P34" s="591"/>
      <c r="Q34" s="591"/>
      <c r="R34" s="591"/>
      <c r="S34" s="591"/>
      <c r="T34" s="590">
        <v>6</v>
      </c>
    </row>
    <row r="35" spans="1:20" x14ac:dyDescent="0.25">
      <c r="A35" s="599" t="s">
        <v>514</v>
      </c>
      <c r="B35" s="591"/>
      <c r="C35" s="593" t="s">
        <v>565</v>
      </c>
      <c r="D35" s="619" t="s">
        <v>515</v>
      </c>
      <c r="E35" s="592"/>
      <c r="F35" s="591"/>
      <c r="G35" s="591"/>
      <c r="H35" s="591"/>
      <c r="I35" s="591"/>
      <c r="J35" s="591"/>
      <c r="K35" s="591"/>
      <c r="L35" s="591"/>
      <c r="M35" s="591"/>
      <c r="N35" s="591"/>
      <c r="O35" s="591"/>
      <c r="P35" s="591"/>
      <c r="Q35" s="591"/>
      <c r="R35" s="591"/>
      <c r="S35" s="591"/>
      <c r="T35" s="590">
        <v>1</v>
      </c>
    </row>
    <row r="36" spans="1:20" x14ac:dyDescent="0.25">
      <c r="A36" s="599" t="s">
        <v>512</v>
      </c>
      <c r="B36" s="591"/>
      <c r="C36" s="593" t="s">
        <v>513</v>
      </c>
      <c r="D36" s="619" t="s">
        <v>36</v>
      </c>
      <c r="E36" s="592"/>
      <c r="F36" s="591"/>
      <c r="G36" s="591"/>
      <c r="H36" s="591"/>
      <c r="I36" s="591"/>
      <c r="J36" s="591"/>
      <c r="K36" s="591"/>
      <c r="L36" s="591"/>
      <c r="M36" s="591"/>
      <c r="N36" s="591"/>
      <c r="O36" s="591"/>
      <c r="P36" s="591"/>
      <c r="Q36" s="591"/>
      <c r="R36" s="591"/>
      <c r="S36" s="591"/>
      <c r="T36" s="590">
        <v>6</v>
      </c>
    </row>
    <row r="37" spans="1:20" x14ac:dyDescent="0.25">
      <c r="A37" s="599" t="s">
        <v>510</v>
      </c>
      <c r="B37" s="591"/>
      <c r="C37" s="593" t="s">
        <v>511</v>
      </c>
      <c r="D37" s="619" t="s">
        <v>36</v>
      </c>
      <c r="E37" s="592"/>
      <c r="F37" s="591"/>
      <c r="G37" s="591"/>
      <c r="H37" s="591"/>
      <c r="I37" s="591"/>
      <c r="J37" s="591"/>
      <c r="K37" s="591"/>
      <c r="L37" s="591"/>
      <c r="M37" s="591"/>
      <c r="N37" s="591"/>
      <c r="O37" s="591"/>
      <c r="P37" s="591"/>
      <c r="Q37" s="591"/>
      <c r="R37" s="591"/>
      <c r="S37" s="591"/>
      <c r="T37" s="590">
        <v>3</v>
      </c>
    </row>
    <row r="38" spans="1:20" x14ac:dyDescent="0.25">
      <c r="A38" s="599" t="s">
        <v>509</v>
      </c>
      <c r="B38" s="591"/>
      <c r="C38" s="593" t="s">
        <v>564</v>
      </c>
      <c r="D38" s="619" t="s">
        <v>36</v>
      </c>
      <c r="E38" s="592"/>
      <c r="F38" s="591"/>
      <c r="G38" s="591"/>
      <c r="H38" s="591"/>
      <c r="I38" s="591"/>
      <c r="J38" s="591"/>
      <c r="K38" s="591"/>
      <c r="L38" s="591"/>
      <c r="M38" s="591"/>
      <c r="N38" s="591"/>
      <c r="O38" s="591"/>
      <c r="P38" s="591"/>
      <c r="Q38" s="591"/>
      <c r="R38" s="591"/>
      <c r="S38" s="591"/>
      <c r="T38" s="590">
        <v>3</v>
      </c>
    </row>
    <row r="39" spans="1:20" x14ac:dyDescent="0.25">
      <c r="A39" s="599" t="s">
        <v>508</v>
      </c>
      <c r="B39" s="591"/>
      <c r="C39" s="593" t="s">
        <v>563</v>
      </c>
      <c r="D39" s="619" t="s">
        <v>36</v>
      </c>
      <c r="E39" s="592"/>
      <c r="F39" s="591"/>
      <c r="G39" s="591"/>
      <c r="H39" s="591"/>
      <c r="I39" s="591"/>
      <c r="J39" s="591"/>
      <c r="K39" s="591"/>
      <c r="L39" s="591"/>
      <c r="M39" s="591"/>
      <c r="N39" s="591"/>
      <c r="O39" s="591"/>
      <c r="P39" s="591"/>
      <c r="Q39" s="591"/>
      <c r="R39" s="591"/>
      <c r="S39" s="591"/>
      <c r="T39" s="590">
        <v>3</v>
      </c>
    </row>
    <row r="40" spans="1:20" x14ac:dyDescent="0.25">
      <c r="A40" s="599" t="s">
        <v>506</v>
      </c>
      <c r="B40" s="591"/>
      <c r="C40" s="593" t="s">
        <v>499</v>
      </c>
      <c r="D40" s="619" t="s">
        <v>36</v>
      </c>
      <c r="E40" s="592"/>
      <c r="F40" s="591"/>
      <c r="G40" s="591"/>
      <c r="H40" s="591"/>
      <c r="I40" s="591"/>
      <c r="J40" s="591"/>
      <c r="K40" s="591"/>
      <c r="L40" s="591"/>
      <c r="M40" s="591"/>
      <c r="N40" s="591"/>
      <c r="O40" s="591"/>
      <c r="P40" s="591"/>
      <c r="Q40" s="591"/>
      <c r="R40" s="591"/>
      <c r="S40" s="591"/>
      <c r="T40" s="590">
        <v>8</v>
      </c>
    </row>
    <row r="41" spans="1:20" x14ac:dyDescent="0.25">
      <c r="A41" s="599" t="s">
        <v>505</v>
      </c>
      <c r="B41" s="591"/>
      <c r="C41" s="593" t="s">
        <v>343</v>
      </c>
      <c r="D41" s="619" t="s">
        <v>36</v>
      </c>
      <c r="E41" s="592"/>
      <c r="F41" s="591"/>
      <c r="G41" s="591"/>
      <c r="H41" s="591"/>
      <c r="I41" s="591"/>
      <c r="J41" s="591"/>
      <c r="K41" s="591"/>
      <c r="L41" s="591"/>
      <c r="M41" s="591"/>
      <c r="N41" s="591"/>
      <c r="O41" s="591"/>
      <c r="P41" s="591"/>
      <c r="Q41" s="591"/>
      <c r="R41" s="591"/>
      <c r="S41" s="591"/>
      <c r="T41" s="590">
        <v>1</v>
      </c>
    </row>
    <row r="42" spans="1:20" x14ac:dyDescent="0.25">
      <c r="A42" s="599" t="s">
        <v>504</v>
      </c>
      <c r="B42" s="591"/>
      <c r="C42" s="593" t="s">
        <v>344</v>
      </c>
      <c r="D42" s="619" t="s">
        <v>36</v>
      </c>
      <c r="E42" s="592"/>
      <c r="F42" s="591"/>
      <c r="G42" s="591"/>
      <c r="H42" s="591"/>
      <c r="I42" s="591"/>
      <c r="J42" s="591"/>
      <c r="K42" s="591"/>
      <c r="L42" s="591"/>
      <c r="M42" s="591"/>
      <c r="N42" s="591"/>
      <c r="O42" s="591"/>
      <c r="P42" s="591"/>
      <c r="Q42" s="591"/>
      <c r="R42" s="591"/>
      <c r="S42" s="591"/>
      <c r="T42" s="590">
        <v>1</v>
      </c>
    </row>
    <row r="43" spans="1:20" x14ac:dyDescent="0.25">
      <c r="A43" s="599" t="s">
        <v>503</v>
      </c>
      <c r="B43" s="591"/>
      <c r="C43" s="593" t="s">
        <v>137</v>
      </c>
      <c r="D43" s="619" t="s">
        <v>36</v>
      </c>
      <c r="E43" s="592"/>
      <c r="F43" s="591"/>
      <c r="G43" s="591"/>
      <c r="H43" s="591"/>
      <c r="I43" s="591"/>
      <c r="J43" s="591"/>
      <c r="K43" s="591"/>
      <c r="L43" s="591"/>
      <c r="M43" s="591"/>
      <c r="N43" s="591"/>
      <c r="O43" s="591"/>
      <c r="P43" s="591"/>
      <c r="Q43" s="591"/>
      <c r="R43" s="591"/>
      <c r="S43" s="591"/>
      <c r="T43" s="590">
        <v>1</v>
      </c>
    </row>
    <row r="44" spans="1:20" x14ac:dyDescent="0.25">
      <c r="A44" s="599" t="s">
        <v>24</v>
      </c>
      <c r="B44" s="591"/>
      <c r="C44" s="593" t="s">
        <v>498</v>
      </c>
      <c r="D44" s="619" t="s">
        <v>36</v>
      </c>
      <c r="E44" s="592"/>
      <c r="F44" s="591"/>
      <c r="G44" s="591"/>
      <c r="H44" s="591"/>
      <c r="I44" s="591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0">
        <v>11</v>
      </c>
    </row>
    <row r="45" spans="1:20" x14ac:dyDescent="0.25">
      <c r="A45" s="599" t="s">
        <v>28</v>
      </c>
      <c r="B45" s="591"/>
      <c r="C45" s="593" t="s">
        <v>562</v>
      </c>
      <c r="D45" s="619" t="s">
        <v>36</v>
      </c>
      <c r="E45" s="592"/>
      <c r="F45" s="591"/>
      <c r="G45" s="591"/>
      <c r="H45" s="591"/>
      <c r="I45" s="591"/>
      <c r="J45" s="591"/>
      <c r="K45" s="591"/>
      <c r="L45" s="591"/>
      <c r="M45" s="591"/>
      <c r="N45" s="591"/>
      <c r="O45" s="591"/>
      <c r="P45" s="591"/>
      <c r="Q45" s="591"/>
      <c r="R45" s="591"/>
      <c r="S45" s="591"/>
      <c r="T45" s="590">
        <v>1</v>
      </c>
    </row>
    <row r="46" spans="1:20" ht="13.5" thickBot="1" x14ac:dyDescent="0.3">
      <c r="A46" s="594">
        <v>5</v>
      </c>
      <c r="B46" s="591"/>
      <c r="C46" s="593" t="s">
        <v>497</v>
      </c>
      <c r="D46" s="619" t="s">
        <v>41</v>
      </c>
      <c r="E46" s="592"/>
      <c r="F46" s="591"/>
      <c r="G46" s="591"/>
      <c r="H46" s="591"/>
      <c r="I46" s="591"/>
      <c r="J46" s="591"/>
      <c r="K46" s="591"/>
      <c r="L46" s="591"/>
      <c r="M46" s="591"/>
      <c r="N46" s="591"/>
      <c r="O46" s="591"/>
      <c r="P46" s="591"/>
      <c r="Q46" s="591"/>
      <c r="R46" s="591"/>
      <c r="S46" s="591"/>
      <c r="T46" s="590">
        <v>117.82</v>
      </c>
    </row>
    <row r="47" spans="1:20" ht="13.5" x14ac:dyDescent="0.25">
      <c r="A47" s="722" t="s">
        <v>496</v>
      </c>
      <c r="B47" s="723"/>
      <c r="C47" s="723"/>
      <c r="D47" s="723"/>
      <c r="E47" s="723"/>
      <c r="F47" s="723"/>
      <c r="G47" s="723"/>
      <c r="H47" s="723"/>
      <c r="I47" s="723"/>
      <c r="J47" s="723"/>
      <c r="K47" s="723"/>
      <c r="L47" s="723"/>
      <c r="M47" s="723"/>
      <c r="N47" s="723"/>
      <c r="O47" s="723"/>
      <c r="P47" s="723"/>
      <c r="Q47" s="723"/>
      <c r="R47" s="723"/>
      <c r="S47" s="723"/>
      <c r="T47" s="724"/>
    </row>
    <row r="48" spans="1:20" ht="38.25" x14ac:dyDescent="0.25">
      <c r="A48" s="594">
        <v>1</v>
      </c>
      <c r="B48" s="591"/>
      <c r="C48" s="593" t="s">
        <v>559</v>
      </c>
      <c r="D48" s="619" t="s">
        <v>25</v>
      </c>
      <c r="E48" s="592"/>
      <c r="F48" s="591"/>
      <c r="G48" s="591"/>
      <c r="H48" s="591"/>
      <c r="I48" s="591"/>
      <c r="J48" s="591"/>
      <c r="K48" s="591"/>
      <c r="L48" s="591"/>
      <c r="M48" s="591"/>
      <c r="N48" s="591"/>
      <c r="O48" s="591"/>
      <c r="P48" s="591"/>
      <c r="Q48" s="591"/>
      <c r="R48" s="591"/>
      <c r="S48" s="591"/>
      <c r="T48" s="590">
        <v>159.85</v>
      </c>
    </row>
    <row r="49" spans="1:20" ht="38.25" x14ac:dyDescent="0.25">
      <c r="A49" s="594">
        <v>2</v>
      </c>
      <c r="B49" s="591"/>
      <c r="C49" s="593" t="s">
        <v>558</v>
      </c>
      <c r="D49" s="619" t="s">
        <v>25</v>
      </c>
      <c r="E49" s="592"/>
      <c r="F49" s="591"/>
      <c r="G49" s="591"/>
      <c r="H49" s="591"/>
      <c r="I49" s="591"/>
      <c r="J49" s="591"/>
      <c r="K49" s="591"/>
      <c r="L49" s="591"/>
      <c r="M49" s="591"/>
      <c r="N49" s="591"/>
      <c r="O49" s="591"/>
      <c r="P49" s="591"/>
      <c r="Q49" s="591"/>
      <c r="R49" s="591"/>
      <c r="S49" s="591"/>
      <c r="T49" s="590">
        <v>31.16</v>
      </c>
    </row>
    <row r="50" spans="1:20" ht="25.5" x14ac:dyDescent="0.25">
      <c r="A50" s="594">
        <v>3</v>
      </c>
      <c r="B50" s="591"/>
      <c r="C50" s="593" t="s">
        <v>125</v>
      </c>
      <c r="D50" s="619" t="s">
        <v>25</v>
      </c>
      <c r="E50" s="592"/>
      <c r="F50" s="591"/>
      <c r="G50" s="591"/>
      <c r="H50" s="591"/>
      <c r="I50" s="591"/>
      <c r="J50" s="591"/>
      <c r="K50" s="591"/>
      <c r="L50" s="591"/>
      <c r="M50" s="591"/>
      <c r="N50" s="591"/>
      <c r="O50" s="591"/>
      <c r="P50" s="591"/>
      <c r="Q50" s="591"/>
      <c r="R50" s="591"/>
      <c r="S50" s="591"/>
      <c r="T50" s="590">
        <v>3</v>
      </c>
    </row>
    <row r="51" spans="1:20" ht="38.25" x14ac:dyDescent="0.25">
      <c r="A51" s="594">
        <v>4</v>
      </c>
      <c r="B51" s="591"/>
      <c r="C51" s="593" t="s">
        <v>193</v>
      </c>
      <c r="D51" s="619" t="s">
        <v>25</v>
      </c>
      <c r="E51" s="592"/>
      <c r="F51" s="591"/>
      <c r="G51" s="591"/>
      <c r="H51" s="591"/>
      <c r="I51" s="591"/>
      <c r="J51" s="591"/>
      <c r="K51" s="591"/>
      <c r="L51" s="591"/>
      <c r="M51" s="591"/>
      <c r="N51" s="591"/>
      <c r="O51" s="591"/>
      <c r="P51" s="591"/>
      <c r="Q51" s="591"/>
      <c r="R51" s="591"/>
      <c r="S51" s="591"/>
      <c r="T51" s="590">
        <v>28.19</v>
      </c>
    </row>
    <row r="52" spans="1:20" x14ac:dyDescent="0.25">
      <c r="A52" s="594">
        <v>5</v>
      </c>
      <c r="B52" s="591"/>
      <c r="C52" s="593" t="s">
        <v>561</v>
      </c>
      <c r="D52" s="619" t="s">
        <v>25</v>
      </c>
      <c r="E52" s="592"/>
      <c r="F52" s="591"/>
      <c r="G52" s="591"/>
      <c r="H52" s="591"/>
      <c r="I52" s="591"/>
      <c r="J52" s="591"/>
      <c r="K52" s="591"/>
      <c r="L52" s="591"/>
      <c r="M52" s="591"/>
      <c r="N52" s="591"/>
      <c r="O52" s="591"/>
      <c r="P52" s="591"/>
      <c r="Q52" s="591"/>
      <c r="R52" s="591"/>
      <c r="S52" s="591"/>
      <c r="T52" s="590">
        <v>28.9</v>
      </c>
    </row>
    <row r="53" spans="1:20" ht="15" customHeight="1" x14ac:dyDescent="0.25">
      <c r="A53" s="725" t="s">
        <v>495</v>
      </c>
      <c r="B53" s="726"/>
      <c r="C53" s="726"/>
      <c r="D53" s="726"/>
      <c r="E53" s="726"/>
      <c r="F53" s="726"/>
      <c r="G53" s="726"/>
      <c r="H53" s="726"/>
      <c r="I53" s="726"/>
      <c r="J53" s="726"/>
      <c r="K53" s="726"/>
      <c r="L53" s="726"/>
      <c r="M53" s="726"/>
      <c r="N53" s="726"/>
      <c r="O53" s="726"/>
      <c r="P53" s="726"/>
      <c r="Q53" s="726"/>
      <c r="R53" s="726"/>
      <c r="S53" s="726"/>
      <c r="T53" s="727"/>
    </row>
    <row r="54" spans="1:20" x14ac:dyDescent="0.25">
      <c r="A54" s="594">
        <v>1</v>
      </c>
      <c r="B54" s="591"/>
      <c r="C54" s="593" t="s">
        <v>123</v>
      </c>
      <c r="D54" s="619" t="s">
        <v>36</v>
      </c>
      <c r="E54" s="592"/>
      <c r="F54" s="591"/>
      <c r="G54" s="591"/>
      <c r="H54" s="591"/>
      <c r="I54" s="591"/>
      <c r="J54" s="591"/>
      <c r="K54" s="591"/>
      <c r="L54" s="591"/>
      <c r="M54" s="591"/>
      <c r="N54" s="591"/>
      <c r="O54" s="591"/>
      <c r="P54" s="591"/>
      <c r="Q54" s="591"/>
      <c r="R54" s="591"/>
      <c r="S54" s="591"/>
      <c r="T54" s="590">
        <v>52</v>
      </c>
    </row>
    <row r="55" spans="1:20" x14ac:dyDescent="0.25">
      <c r="A55" s="594">
        <v>2</v>
      </c>
      <c r="B55" s="591"/>
      <c r="C55" s="593" t="s">
        <v>122</v>
      </c>
      <c r="D55" s="619" t="s">
        <v>36</v>
      </c>
      <c r="E55" s="592"/>
      <c r="F55" s="591"/>
      <c r="G55" s="591"/>
      <c r="H55" s="591"/>
      <c r="I55" s="591"/>
      <c r="J55" s="591"/>
      <c r="K55" s="591"/>
      <c r="L55" s="591"/>
      <c r="M55" s="591"/>
      <c r="N55" s="591"/>
      <c r="O55" s="591"/>
      <c r="P55" s="591"/>
      <c r="Q55" s="591"/>
      <c r="R55" s="591"/>
      <c r="S55" s="591"/>
      <c r="T55" s="590">
        <v>25</v>
      </c>
    </row>
    <row r="56" spans="1:20" x14ac:dyDescent="0.25">
      <c r="A56" s="594">
        <v>3</v>
      </c>
      <c r="B56" s="591"/>
      <c r="C56" s="593" t="s">
        <v>184</v>
      </c>
      <c r="D56" s="619" t="s">
        <v>36</v>
      </c>
      <c r="E56" s="592"/>
      <c r="F56" s="591"/>
      <c r="G56" s="591"/>
      <c r="H56" s="591"/>
      <c r="I56" s="591"/>
      <c r="J56" s="591"/>
      <c r="K56" s="591"/>
      <c r="L56" s="591"/>
      <c r="M56" s="591"/>
      <c r="N56" s="591"/>
      <c r="O56" s="591"/>
      <c r="P56" s="591"/>
      <c r="Q56" s="591"/>
      <c r="R56" s="591"/>
      <c r="S56" s="591"/>
      <c r="T56" s="590">
        <v>2</v>
      </c>
    </row>
    <row r="57" spans="1:20" x14ac:dyDescent="0.25">
      <c r="A57" s="594">
        <v>4</v>
      </c>
      <c r="B57" s="591"/>
      <c r="C57" s="593" t="s">
        <v>185</v>
      </c>
      <c r="D57" s="619" t="s">
        <v>36</v>
      </c>
      <c r="E57" s="592"/>
      <c r="F57" s="591"/>
      <c r="G57" s="591"/>
      <c r="H57" s="591"/>
      <c r="I57" s="591"/>
      <c r="J57" s="591"/>
      <c r="K57" s="591"/>
      <c r="L57" s="591"/>
      <c r="M57" s="591"/>
      <c r="N57" s="591"/>
      <c r="O57" s="591"/>
      <c r="P57" s="591"/>
      <c r="Q57" s="591"/>
      <c r="R57" s="591"/>
      <c r="S57" s="591"/>
      <c r="T57" s="590">
        <v>2</v>
      </c>
    </row>
    <row r="58" spans="1:20" x14ac:dyDescent="0.25">
      <c r="A58" s="594">
        <v>5</v>
      </c>
      <c r="B58" s="591"/>
      <c r="C58" s="593" t="s">
        <v>235</v>
      </c>
      <c r="D58" s="619" t="s">
        <v>27</v>
      </c>
      <c r="E58" s="592"/>
      <c r="F58" s="591"/>
      <c r="G58" s="591"/>
      <c r="H58" s="591"/>
      <c r="I58" s="591"/>
      <c r="J58" s="591"/>
      <c r="K58" s="591"/>
      <c r="L58" s="591"/>
      <c r="M58" s="591"/>
      <c r="N58" s="591"/>
      <c r="O58" s="591"/>
      <c r="P58" s="591"/>
      <c r="Q58" s="591"/>
      <c r="R58" s="591"/>
      <c r="S58" s="591"/>
      <c r="T58" s="590">
        <v>18.54</v>
      </c>
    </row>
    <row r="59" spans="1:20" x14ac:dyDescent="0.25">
      <c r="A59" s="594">
        <v>6</v>
      </c>
      <c r="B59" s="591"/>
      <c r="C59" s="593" t="s">
        <v>241</v>
      </c>
      <c r="D59" s="619" t="s">
        <v>27</v>
      </c>
      <c r="E59" s="592"/>
      <c r="F59" s="591"/>
      <c r="G59" s="591"/>
      <c r="H59" s="591"/>
      <c r="I59" s="591"/>
      <c r="J59" s="591"/>
      <c r="K59" s="591"/>
      <c r="L59" s="591"/>
      <c r="M59" s="591"/>
      <c r="N59" s="591"/>
      <c r="O59" s="591"/>
      <c r="P59" s="591"/>
      <c r="Q59" s="591"/>
      <c r="R59" s="591"/>
      <c r="S59" s="591"/>
      <c r="T59" s="590">
        <v>2.25</v>
      </c>
    </row>
    <row r="60" spans="1:20" x14ac:dyDescent="0.25">
      <c r="A60" s="594">
        <v>7</v>
      </c>
      <c r="B60" s="591"/>
      <c r="C60" s="593" t="s">
        <v>258</v>
      </c>
      <c r="D60" s="619" t="s">
        <v>27</v>
      </c>
      <c r="E60" s="592"/>
      <c r="F60" s="591"/>
      <c r="G60" s="591"/>
      <c r="H60" s="591"/>
      <c r="I60" s="591"/>
      <c r="J60" s="591"/>
      <c r="K60" s="591"/>
      <c r="L60" s="591"/>
      <c r="M60" s="591"/>
      <c r="N60" s="591"/>
      <c r="O60" s="591"/>
      <c r="P60" s="591"/>
      <c r="Q60" s="591"/>
      <c r="R60" s="591"/>
      <c r="S60" s="591"/>
      <c r="T60" s="590">
        <v>17.600000000000001</v>
      </c>
    </row>
    <row r="61" spans="1:20" x14ac:dyDescent="0.25">
      <c r="A61" s="594">
        <v>8</v>
      </c>
      <c r="B61" s="591"/>
      <c r="C61" s="593" t="s">
        <v>239</v>
      </c>
      <c r="D61" s="619" t="s">
        <v>16</v>
      </c>
      <c r="E61" s="592"/>
      <c r="F61" s="591"/>
      <c r="G61" s="591"/>
      <c r="H61" s="591"/>
      <c r="I61" s="591"/>
      <c r="J61" s="591"/>
      <c r="K61" s="591"/>
      <c r="L61" s="591"/>
      <c r="M61" s="591"/>
      <c r="N61" s="591"/>
      <c r="O61" s="591"/>
      <c r="P61" s="591"/>
      <c r="Q61" s="591"/>
      <c r="R61" s="591"/>
      <c r="S61" s="591"/>
      <c r="T61" s="590">
        <v>0.7</v>
      </c>
    </row>
    <row r="62" spans="1:20" x14ac:dyDescent="0.25">
      <c r="A62" s="594">
        <v>9</v>
      </c>
      <c r="B62" s="591"/>
      <c r="C62" s="593" t="s">
        <v>346</v>
      </c>
      <c r="D62" s="619" t="s">
        <v>16</v>
      </c>
      <c r="E62" s="592"/>
      <c r="F62" s="591"/>
      <c r="G62" s="591"/>
      <c r="H62" s="591"/>
      <c r="I62" s="591"/>
      <c r="J62" s="591"/>
      <c r="K62" s="591"/>
      <c r="L62" s="591"/>
      <c r="M62" s="591"/>
      <c r="N62" s="591"/>
      <c r="O62" s="591"/>
      <c r="P62" s="591"/>
      <c r="Q62" s="591"/>
      <c r="R62" s="591"/>
      <c r="S62" s="591"/>
      <c r="T62" s="590">
        <v>3</v>
      </c>
    </row>
    <row r="63" spans="1:20" x14ac:dyDescent="0.25">
      <c r="A63" s="594">
        <v>10</v>
      </c>
      <c r="B63" s="591"/>
      <c r="C63" s="593" t="s">
        <v>240</v>
      </c>
      <c r="D63" s="619" t="s">
        <v>41</v>
      </c>
      <c r="E63" s="592"/>
      <c r="F63" s="591"/>
      <c r="G63" s="591"/>
      <c r="H63" s="591"/>
      <c r="I63" s="591"/>
      <c r="J63" s="591"/>
      <c r="K63" s="591"/>
      <c r="L63" s="591"/>
      <c r="M63" s="591"/>
      <c r="N63" s="591"/>
      <c r="O63" s="591"/>
      <c r="P63" s="591"/>
      <c r="Q63" s="591"/>
      <c r="R63" s="591"/>
      <c r="S63" s="591"/>
      <c r="T63" s="590">
        <v>279.36</v>
      </c>
    </row>
    <row r="64" spans="1:20" x14ac:dyDescent="0.25">
      <c r="A64" s="594">
        <v>11</v>
      </c>
      <c r="B64" s="591"/>
      <c r="C64" s="593" t="s">
        <v>279</v>
      </c>
      <c r="D64" s="619" t="s">
        <v>36</v>
      </c>
      <c r="E64" s="592"/>
      <c r="F64" s="591"/>
      <c r="G64" s="591"/>
      <c r="H64" s="591"/>
      <c r="I64" s="591"/>
      <c r="J64" s="591"/>
      <c r="K64" s="591"/>
      <c r="L64" s="591"/>
      <c r="M64" s="591"/>
      <c r="N64" s="591"/>
      <c r="O64" s="591"/>
      <c r="P64" s="591"/>
      <c r="Q64" s="591"/>
      <c r="R64" s="591"/>
      <c r="S64" s="591"/>
      <c r="T64" s="590">
        <v>1</v>
      </c>
    </row>
    <row r="65" spans="1:20" x14ac:dyDescent="0.25">
      <c r="A65" s="594">
        <v>12</v>
      </c>
      <c r="B65" s="591"/>
      <c r="C65" s="593" t="s">
        <v>244</v>
      </c>
      <c r="D65" s="619" t="s">
        <v>16</v>
      </c>
      <c r="E65" s="592"/>
      <c r="F65" s="591"/>
      <c r="G65" s="591"/>
      <c r="H65" s="591"/>
      <c r="I65" s="591"/>
      <c r="J65" s="591"/>
      <c r="K65" s="591"/>
      <c r="L65" s="591"/>
      <c r="M65" s="591"/>
      <c r="N65" s="591"/>
      <c r="O65" s="591"/>
      <c r="P65" s="591"/>
      <c r="Q65" s="591"/>
      <c r="R65" s="591"/>
      <c r="S65" s="591"/>
      <c r="T65" s="590">
        <v>1.98</v>
      </c>
    </row>
    <row r="66" spans="1:20" x14ac:dyDescent="0.25">
      <c r="A66" s="594">
        <v>13</v>
      </c>
      <c r="B66" s="591"/>
      <c r="C66" s="593" t="s">
        <v>560</v>
      </c>
      <c r="D66" s="619" t="s">
        <v>36</v>
      </c>
      <c r="E66" s="592"/>
      <c r="F66" s="591"/>
      <c r="G66" s="591"/>
      <c r="H66" s="591"/>
      <c r="I66" s="591"/>
      <c r="J66" s="591"/>
      <c r="K66" s="591"/>
      <c r="L66" s="591"/>
      <c r="M66" s="591"/>
      <c r="N66" s="591"/>
      <c r="O66" s="591"/>
      <c r="P66" s="591"/>
      <c r="Q66" s="591"/>
      <c r="R66" s="591"/>
      <c r="S66" s="591"/>
      <c r="T66" s="590">
        <v>1</v>
      </c>
    </row>
    <row r="67" spans="1:20" x14ac:dyDescent="0.25">
      <c r="C67" s="589"/>
      <c r="D67" s="588"/>
    </row>
    <row r="68" spans="1:20" x14ac:dyDescent="0.25">
      <c r="C68" s="589"/>
      <c r="D68" s="588"/>
    </row>
    <row r="69" spans="1:20" ht="16.5" thickBot="1" x14ac:dyDescent="0.3">
      <c r="A69" s="618" t="s">
        <v>328</v>
      </c>
      <c r="C69" s="617"/>
      <c r="D69" s="587"/>
      <c r="E69" s="586"/>
      <c r="T69" s="616" t="s">
        <v>494</v>
      </c>
    </row>
    <row r="70" spans="1:20" s="583" customFormat="1" ht="15.75" x14ac:dyDescent="0.25">
      <c r="C70" s="618"/>
      <c r="D70" s="618"/>
      <c r="E70" s="618"/>
      <c r="F70" s="585"/>
      <c r="G70" s="584"/>
      <c r="H70" s="584"/>
      <c r="I70" s="584"/>
      <c r="J70" s="584"/>
      <c r="K70" s="584"/>
      <c r="L70" s="584"/>
      <c r="M70" s="584"/>
      <c r="N70" s="584"/>
      <c r="O70" s="584"/>
      <c r="P70" s="584"/>
      <c r="Q70" s="584"/>
      <c r="R70" s="584"/>
      <c r="T70" s="616"/>
    </row>
    <row r="71" spans="1:20" s="582" customFormat="1" ht="16.5" thickBot="1" x14ac:dyDescent="0.3">
      <c r="A71" s="618" t="s">
        <v>329</v>
      </c>
      <c r="B71" s="583"/>
      <c r="C71" s="617"/>
      <c r="D71" s="617"/>
      <c r="E71" s="617"/>
      <c r="F71" s="584"/>
      <c r="G71" s="584"/>
      <c r="H71" s="584"/>
      <c r="I71" s="584"/>
      <c r="J71" s="584"/>
      <c r="K71" s="584"/>
      <c r="L71" s="584"/>
      <c r="M71" s="584"/>
      <c r="N71" s="584"/>
      <c r="O71" s="584"/>
      <c r="P71" s="584"/>
      <c r="Q71" s="584"/>
      <c r="R71" s="584"/>
      <c r="S71" s="583"/>
      <c r="T71" s="616" t="s">
        <v>493</v>
      </c>
    </row>
    <row r="72" spans="1:20" s="582" customFormat="1" ht="15.75" x14ac:dyDescent="0.25">
      <c r="A72" s="583"/>
      <c r="B72" s="583"/>
      <c r="C72" s="618"/>
      <c r="D72" s="618"/>
      <c r="E72" s="618"/>
      <c r="F72" s="585"/>
      <c r="G72" s="584"/>
      <c r="H72" s="584"/>
      <c r="I72" s="584"/>
      <c r="J72" s="584"/>
      <c r="K72" s="584"/>
      <c r="L72" s="584"/>
      <c r="M72" s="584"/>
      <c r="N72" s="584"/>
      <c r="O72" s="584"/>
      <c r="P72" s="584"/>
      <c r="Q72" s="584"/>
      <c r="R72" s="584"/>
      <c r="S72" s="583"/>
      <c r="T72" s="618"/>
    </row>
    <row r="73" spans="1:20" ht="16.5" thickBot="1" x14ac:dyDescent="0.3">
      <c r="A73" s="618" t="s">
        <v>492</v>
      </c>
      <c r="C73" s="617"/>
      <c r="D73" s="617"/>
      <c r="E73" s="617"/>
      <c r="T73" s="616" t="s">
        <v>491</v>
      </c>
    </row>
  </sheetData>
  <mergeCells count="27">
    <mergeCell ref="A19:T19"/>
    <mergeCell ref="A22:T22"/>
    <mergeCell ref="A47:T47"/>
    <mergeCell ref="A53:T53"/>
    <mergeCell ref="N15:N18"/>
    <mergeCell ref="O15:O18"/>
    <mergeCell ref="P15:P18"/>
    <mergeCell ref="Q15:Q18"/>
    <mergeCell ref="R15:R18"/>
    <mergeCell ref="S15:S18"/>
    <mergeCell ref="H15:H18"/>
    <mergeCell ref="I15:I18"/>
    <mergeCell ref="J15:J18"/>
    <mergeCell ref="K15:K18"/>
    <mergeCell ref="L15:L18"/>
    <mergeCell ref="M15:M18"/>
    <mergeCell ref="A11:T12"/>
    <mergeCell ref="A13:T13"/>
    <mergeCell ref="C14:T14"/>
    <mergeCell ref="A15:A18"/>
    <mergeCell ref="B15:B18"/>
    <mergeCell ref="C15:C18"/>
    <mergeCell ref="D15:D18"/>
    <mergeCell ref="E15:E18"/>
    <mergeCell ref="F15:F18"/>
    <mergeCell ref="G15:G18"/>
    <mergeCell ref="T15:T17"/>
  </mergeCells>
  <conditionalFormatting sqref="H23">
    <cfRule type="cellIs" dxfId="3" priority="1" operator="lessThan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66" fitToHeight="2" orientation="portrait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FC06F-536E-469B-9DFD-4143BD34F2C9}">
  <sheetPr>
    <pageSetUpPr fitToPage="1"/>
  </sheetPr>
  <dimension ref="A1:AI102"/>
  <sheetViews>
    <sheetView view="pageBreakPreview" zoomScale="85" zoomScaleNormal="100" zoomScaleSheetLayoutView="85" workbookViewId="0">
      <selection activeCell="A80" sqref="A80"/>
    </sheetView>
  </sheetViews>
  <sheetFormatPr defaultColWidth="9.140625" defaultRowHeight="15" x14ac:dyDescent="0.25"/>
  <cols>
    <col min="1" max="1" width="6" style="1" customWidth="1"/>
    <col min="2" max="2" width="17.7109375" style="128" customWidth="1"/>
    <col min="3" max="3" width="84.28515625" style="1" customWidth="1"/>
    <col min="4" max="4" width="8.85546875" style="1" customWidth="1"/>
    <col min="5" max="5" width="13.85546875" style="1" bestFit="1" customWidth="1"/>
    <col min="6" max="6" width="14.85546875" style="3" hidden="1" customWidth="1"/>
    <col min="7" max="8" width="11.42578125" style="3" hidden="1" customWidth="1"/>
    <col min="9" max="9" width="0" style="3" hidden="1" customWidth="1"/>
    <col min="10" max="16384" width="9.140625" style="3"/>
  </cols>
  <sheetData>
    <row r="1" spans="1:8" ht="18.75" x14ac:dyDescent="0.25">
      <c r="A1" s="473"/>
      <c r="B1" s="473"/>
      <c r="C1" s="473"/>
      <c r="E1" s="474" t="s">
        <v>316</v>
      </c>
    </row>
    <row r="2" spans="1:8" ht="15.75" x14ac:dyDescent="0.25">
      <c r="A2" s="475" t="s">
        <v>317</v>
      </c>
      <c r="B2" s="475"/>
      <c r="C2" s="475"/>
      <c r="E2" s="477" t="s">
        <v>318</v>
      </c>
    </row>
    <row r="3" spans="1:8" ht="15.75" x14ac:dyDescent="0.25">
      <c r="A3" s="478" t="s">
        <v>319</v>
      </c>
      <c r="B3" s="478"/>
      <c r="C3" s="478"/>
      <c r="E3" s="476"/>
    </row>
    <row r="4" spans="1:8" ht="15.75" x14ac:dyDescent="0.25">
      <c r="A4" s="475" t="s">
        <v>320</v>
      </c>
      <c r="B4" s="475"/>
      <c r="C4" s="475"/>
      <c r="E4" s="477" t="s">
        <v>321</v>
      </c>
    </row>
    <row r="5" spans="1:8" ht="15.75" x14ac:dyDescent="0.25">
      <c r="A5" s="478" t="s">
        <v>322</v>
      </c>
      <c r="B5" s="478"/>
      <c r="C5" s="478"/>
      <c r="E5" s="479"/>
    </row>
    <row r="6" spans="1:8" ht="15.75" x14ac:dyDescent="0.25">
      <c r="A6" s="478" t="s">
        <v>323</v>
      </c>
      <c r="B6" s="478"/>
      <c r="C6" s="478"/>
      <c r="E6" s="477" t="s">
        <v>360</v>
      </c>
    </row>
    <row r="7" spans="1:8" ht="15.75" x14ac:dyDescent="0.25">
      <c r="A7" s="480" t="s">
        <v>324</v>
      </c>
      <c r="B7" s="480"/>
      <c r="C7" s="480"/>
      <c r="E7" s="477"/>
    </row>
    <row r="8" spans="1:8" ht="27.75" x14ac:dyDescent="0.4">
      <c r="A8" s="481"/>
      <c r="B8" s="481"/>
      <c r="C8" s="481"/>
      <c r="E8" s="477" t="s">
        <v>325</v>
      </c>
    </row>
    <row r="9" spans="1:8" ht="15" customHeight="1" x14ac:dyDescent="0.25">
      <c r="A9" s="705" t="s">
        <v>336</v>
      </c>
      <c r="B9" s="705"/>
      <c r="C9" s="705"/>
      <c r="D9" s="705"/>
      <c r="E9" s="705"/>
    </row>
    <row r="10" spans="1:8" ht="22.5" customHeight="1" thickBot="1" x14ac:dyDescent="0.3">
      <c r="A10" s="706" t="s">
        <v>326</v>
      </c>
      <c r="B10" s="706"/>
      <c r="C10" s="706"/>
      <c r="D10" s="706"/>
      <c r="E10" s="706"/>
    </row>
    <row r="11" spans="1:8" s="5" customFormat="1" ht="15" customHeight="1" x14ac:dyDescent="0.25">
      <c r="A11" s="699" t="s">
        <v>4</v>
      </c>
      <c r="B11" s="484" t="s">
        <v>5</v>
      </c>
      <c r="C11" s="699" t="s">
        <v>6</v>
      </c>
      <c r="D11" s="699" t="s">
        <v>7</v>
      </c>
      <c r="E11" s="699" t="s">
        <v>8</v>
      </c>
    </row>
    <row r="12" spans="1:8" ht="15.75" thickBot="1" x14ac:dyDescent="0.3">
      <c r="A12" s="700"/>
      <c r="B12" s="485" t="s">
        <v>11</v>
      </c>
      <c r="C12" s="700"/>
      <c r="D12" s="700"/>
      <c r="E12" s="701"/>
    </row>
    <row r="13" spans="1:8" ht="15.75" thickBot="1" x14ac:dyDescent="0.3">
      <c r="A13" s="541"/>
      <c r="B13" s="542"/>
      <c r="C13" s="543"/>
      <c r="D13" s="544"/>
      <c r="E13" s="514"/>
    </row>
    <row r="14" spans="1:8" ht="18.75" customHeight="1" x14ac:dyDescent="0.25">
      <c r="A14" s="501"/>
      <c r="B14" s="502" t="s">
        <v>14</v>
      </c>
      <c r="C14" s="503" t="s">
        <v>230</v>
      </c>
      <c r="D14" s="518"/>
      <c r="E14" s="504"/>
    </row>
    <row r="15" spans="1:8" ht="28.5" x14ac:dyDescent="0.25">
      <c r="A15" s="379" t="s">
        <v>21</v>
      </c>
      <c r="B15" s="337"/>
      <c r="C15" s="483" t="s">
        <v>71</v>
      </c>
      <c r="D15" s="538" t="s">
        <v>16</v>
      </c>
      <c r="E15" s="520">
        <v>1541.91</v>
      </c>
      <c r="F15" s="3">
        <v>2255.96</v>
      </c>
      <c r="G15" s="3" t="e">
        <f>#REF!+#REF!+#REF!</f>
        <v>#REF!</v>
      </c>
      <c r="H15" s="3" t="e">
        <f>#REF!/G15</f>
        <v>#REF!</v>
      </c>
    </row>
    <row r="16" spans="1:8" ht="28.5" x14ac:dyDescent="0.25">
      <c r="A16" s="482">
        <v>2</v>
      </c>
      <c r="B16" s="331"/>
      <c r="C16" s="332" t="s">
        <v>72</v>
      </c>
      <c r="D16" s="538" t="s">
        <v>16</v>
      </c>
      <c r="E16" s="520">
        <v>47.69</v>
      </c>
      <c r="F16" s="3" t="e">
        <f>#REF!+#REF!+#REF!+#REF!+#REF!+#REF!</f>
        <v>#REF!</v>
      </c>
      <c r="G16" s="3" t="e">
        <f>E15+#REF!+E16+E67+E68+#REF!</f>
        <v>#REF!</v>
      </c>
    </row>
    <row r="17" spans="1:7" x14ac:dyDescent="0.25">
      <c r="A17" s="379" t="s">
        <v>24</v>
      </c>
      <c r="B17" s="331"/>
      <c r="C17" s="332" t="s">
        <v>107</v>
      </c>
      <c r="D17" s="538" t="s">
        <v>16</v>
      </c>
      <c r="E17" s="520">
        <v>179.34</v>
      </c>
      <c r="F17" s="66" t="e">
        <f>#REF!+#REF!</f>
        <v>#REF!</v>
      </c>
      <c r="G17" s="66">
        <f>E17+E22</f>
        <v>211.8</v>
      </c>
    </row>
    <row r="18" spans="1:7" x14ac:dyDescent="0.25">
      <c r="A18" s="381" t="s">
        <v>26</v>
      </c>
      <c r="B18" s="342"/>
      <c r="C18" s="336" t="s">
        <v>109</v>
      </c>
      <c r="D18" s="539" t="s">
        <v>16</v>
      </c>
      <c r="E18" s="519">
        <f>E17*1.1</f>
        <v>197.27400000000003</v>
      </c>
    </row>
    <row r="19" spans="1:7" ht="28.5" x14ac:dyDescent="0.25">
      <c r="A19" s="482">
        <v>4</v>
      </c>
      <c r="B19" s="331"/>
      <c r="C19" s="332" t="s">
        <v>154</v>
      </c>
      <c r="D19" s="538" t="s">
        <v>16</v>
      </c>
      <c r="E19" s="550">
        <v>1300.67</v>
      </c>
    </row>
    <row r="20" spans="1:7" ht="15.75" thickBot="1" x14ac:dyDescent="0.3">
      <c r="A20" s="512">
        <v>5</v>
      </c>
      <c r="B20" s="568"/>
      <c r="C20" s="422" t="s">
        <v>18</v>
      </c>
      <c r="D20" s="569" t="s">
        <v>16</v>
      </c>
      <c r="E20" s="570">
        <f>E19+E17</f>
        <v>1480.01</v>
      </c>
    </row>
    <row r="21" spans="1:7" ht="22.5" customHeight="1" x14ac:dyDescent="0.25">
      <c r="A21" s="531"/>
      <c r="B21" s="532" t="s">
        <v>20</v>
      </c>
      <c r="C21" s="510" t="s">
        <v>232</v>
      </c>
      <c r="D21" s="533"/>
      <c r="E21" s="557"/>
    </row>
    <row r="22" spans="1:7" x14ac:dyDescent="0.25">
      <c r="A22" s="379" t="s">
        <v>37</v>
      </c>
      <c r="B22" s="331"/>
      <c r="C22" s="332" t="s">
        <v>74</v>
      </c>
      <c r="D22" s="538" t="s">
        <v>16</v>
      </c>
      <c r="E22" s="165">
        <v>32.46</v>
      </c>
    </row>
    <row r="23" spans="1:7" x14ac:dyDescent="0.25">
      <c r="A23" s="381" t="s">
        <v>39</v>
      </c>
      <c r="B23" s="335"/>
      <c r="C23" s="336" t="s">
        <v>109</v>
      </c>
      <c r="D23" s="539" t="s">
        <v>16</v>
      </c>
      <c r="E23" s="519">
        <f>E22*1.1</f>
        <v>35.706000000000003</v>
      </c>
    </row>
    <row r="24" spans="1:7" x14ac:dyDescent="0.25">
      <c r="A24" s="379" t="s">
        <v>43</v>
      </c>
      <c r="B24" s="337"/>
      <c r="C24" s="332" t="s">
        <v>164</v>
      </c>
      <c r="D24" s="538" t="s">
        <v>16</v>
      </c>
      <c r="E24" s="565">
        <v>1.91</v>
      </c>
    </row>
    <row r="25" spans="1:7" x14ac:dyDescent="0.25">
      <c r="A25" s="381" t="s">
        <v>45</v>
      </c>
      <c r="B25" s="335"/>
      <c r="C25" s="336" t="s">
        <v>187</v>
      </c>
      <c r="D25" s="539" t="s">
        <v>16</v>
      </c>
      <c r="E25" s="519">
        <f>E24*1.25</f>
        <v>2.3874999999999997</v>
      </c>
    </row>
    <row r="26" spans="1:7" ht="28.5" x14ac:dyDescent="0.25">
      <c r="A26" s="379" t="s">
        <v>52</v>
      </c>
      <c r="B26" s="337"/>
      <c r="C26" s="332" t="s">
        <v>168</v>
      </c>
      <c r="D26" s="538" t="s">
        <v>25</v>
      </c>
      <c r="E26" s="520">
        <v>18.100000000000001</v>
      </c>
    </row>
    <row r="27" spans="1:7" ht="45" x14ac:dyDescent="0.25">
      <c r="A27" s="381" t="s">
        <v>80</v>
      </c>
      <c r="B27" s="335"/>
      <c r="C27" s="336" t="s">
        <v>570</v>
      </c>
      <c r="D27" s="539" t="s">
        <v>25</v>
      </c>
      <c r="E27" s="519">
        <v>18.55</v>
      </c>
    </row>
    <row r="28" spans="1:7" ht="28.5" x14ac:dyDescent="0.25">
      <c r="A28" s="379" t="s">
        <v>54</v>
      </c>
      <c r="B28" s="337"/>
      <c r="C28" s="332" t="s">
        <v>188</v>
      </c>
      <c r="D28" s="538" t="s">
        <v>25</v>
      </c>
      <c r="E28" s="520">
        <v>177.3</v>
      </c>
    </row>
    <row r="29" spans="1:7" ht="45" x14ac:dyDescent="0.25">
      <c r="A29" s="381" t="s">
        <v>56</v>
      </c>
      <c r="B29" s="335"/>
      <c r="C29" s="336" t="s">
        <v>571</v>
      </c>
      <c r="D29" s="539" t="s">
        <v>25</v>
      </c>
      <c r="E29" s="519">
        <f>E28*1.025</f>
        <v>181.73249999999999</v>
      </c>
    </row>
    <row r="30" spans="1:7" x14ac:dyDescent="0.25">
      <c r="A30" s="381" t="s">
        <v>165</v>
      </c>
      <c r="B30" s="335"/>
      <c r="C30" s="336" t="s">
        <v>195</v>
      </c>
      <c r="D30" s="539" t="s">
        <v>36</v>
      </c>
      <c r="E30" s="382">
        <v>55</v>
      </c>
    </row>
    <row r="31" spans="1:7" x14ac:dyDescent="0.25">
      <c r="A31" s="381" t="s">
        <v>186</v>
      </c>
      <c r="B31" s="335"/>
      <c r="C31" s="336" t="s">
        <v>196</v>
      </c>
      <c r="D31" s="548" t="s">
        <v>36</v>
      </c>
      <c r="E31" s="382">
        <v>27</v>
      </c>
    </row>
    <row r="32" spans="1:7" ht="28.5" x14ac:dyDescent="0.25">
      <c r="A32" s="379" t="s">
        <v>57</v>
      </c>
      <c r="B32" s="337"/>
      <c r="C32" s="338" t="s">
        <v>208</v>
      </c>
      <c r="D32" s="547" t="s">
        <v>25</v>
      </c>
      <c r="E32" s="380">
        <v>17.2</v>
      </c>
    </row>
    <row r="33" spans="1:5" ht="45" x14ac:dyDescent="0.25">
      <c r="A33" s="381" t="s">
        <v>58</v>
      </c>
      <c r="B33" s="335"/>
      <c r="C33" s="339" t="s">
        <v>572</v>
      </c>
      <c r="D33" s="548" t="s">
        <v>25</v>
      </c>
      <c r="E33" s="486">
        <v>17.544</v>
      </c>
    </row>
    <row r="34" spans="1:5" x14ac:dyDescent="0.25">
      <c r="A34" s="381" t="s">
        <v>170</v>
      </c>
      <c r="B34" s="335"/>
      <c r="C34" s="339" t="s">
        <v>569</v>
      </c>
      <c r="D34" s="548" t="s">
        <v>36</v>
      </c>
      <c r="E34" s="382">
        <v>5</v>
      </c>
    </row>
    <row r="35" spans="1:5" x14ac:dyDescent="0.25">
      <c r="A35" s="381" t="s">
        <v>199</v>
      </c>
      <c r="B35" s="335"/>
      <c r="C35" s="339" t="s">
        <v>568</v>
      </c>
      <c r="D35" s="548" t="s">
        <v>36</v>
      </c>
      <c r="E35" s="382">
        <v>2</v>
      </c>
    </row>
    <row r="36" spans="1:5" ht="28.5" x14ac:dyDescent="0.25">
      <c r="A36" s="379" t="s">
        <v>86</v>
      </c>
      <c r="B36" s="331"/>
      <c r="C36" s="340" t="s">
        <v>192</v>
      </c>
      <c r="D36" s="538" t="s">
        <v>25</v>
      </c>
      <c r="E36" s="380">
        <v>18.3</v>
      </c>
    </row>
    <row r="37" spans="1:5" ht="28.5" customHeight="1" x14ac:dyDescent="0.25">
      <c r="A37" s="381" t="s">
        <v>91</v>
      </c>
      <c r="B37" s="335"/>
      <c r="C37" s="336" t="s">
        <v>193</v>
      </c>
      <c r="D37" s="539" t="s">
        <v>25</v>
      </c>
      <c r="E37" s="519">
        <f>E36*1.025</f>
        <v>18.7575</v>
      </c>
    </row>
    <row r="38" spans="1:5" x14ac:dyDescent="0.25">
      <c r="A38" s="379" t="s">
        <v>90</v>
      </c>
      <c r="B38" s="331"/>
      <c r="C38" s="340" t="s">
        <v>198</v>
      </c>
      <c r="D38" s="538" t="s">
        <v>60</v>
      </c>
      <c r="E38" s="520">
        <v>514.96200000000033</v>
      </c>
    </row>
    <row r="39" spans="1:5" ht="62.25" customHeight="1" x14ac:dyDescent="0.25">
      <c r="A39" s="379" t="s">
        <v>167</v>
      </c>
      <c r="B39" s="337"/>
      <c r="C39" s="341" t="s">
        <v>44</v>
      </c>
      <c r="D39" s="538" t="s">
        <v>36</v>
      </c>
      <c r="E39" s="380">
        <v>14</v>
      </c>
    </row>
    <row r="40" spans="1:5" x14ac:dyDescent="0.25">
      <c r="A40" s="381" t="s">
        <v>97</v>
      </c>
      <c r="B40" s="335"/>
      <c r="C40" s="336" t="s">
        <v>46</v>
      </c>
      <c r="D40" s="342" t="s">
        <v>36</v>
      </c>
      <c r="E40" s="382">
        <v>34</v>
      </c>
    </row>
    <row r="41" spans="1:5" ht="18.75" customHeight="1" x14ac:dyDescent="0.25">
      <c r="A41" s="381" t="s">
        <v>225</v>
      </c>
      <c r="B41" s="335"/>
      <c r="C41" s="336" t="s">
        <v>131</v>
      </c>
      <c r="D41" s="342" t="s">
        <v>36</v>
      </c>
      <c r="E41" s="382">
        <v>14</v>
      </c>
    </row>
    <row r="42" spans="1:5" ht="30" x14ac:dyDescent="0.25">
      <c r="A42" s="381" t="s">
        <v>248</v>
      </c>
      <c r="B42" s="335"/>
      <c r="C42" s="336" t="s">
        <v>132</v>
      </c>
      <c r="D42" s="342" t="s">
        <v>36</v>
      </c>
      <c r="E42" s="382">
        <v>16</v>
      </c>
    </row>
    <row r="43" spans="1:5" ht="30" x14ac:dyDescent="0.25">
      <c r="A43" s="381" t="s">
        <v>249</v>
      </c>
      <c r="B43" s="335"/>
      <c r="C43" s="336" t="s">
        <v>133</v>
      </c>
      <c r="D43" s="342" t="s">
        <v>36</v>
      </c>
      <c r="E43" s="382">
        <v>10</v>
      </c>
    </row>
    <row r="44" spans="1:5" ht="30" x14ac:dyDescent="0.25">
      <c r="A44" s="381" t="s">
        <v>367</v>
      </c>
      <c r="B44" s="335"/>
      <c r="C44" s="336" t="s">
        <v>134</v>
      </c>
      <c r="D44" s="342" t="s">
        <v>36</v>
      </c>
      <c r="E44" s="382">
        <v>14</v>
      </c>
    </row>
    <row r="45" spans="1:5" ht="30" x14ac:dyDescent="0.25">
      <c r="A45" s="381" t="s">
        <v>368</v>
      </c>
      <c r="B45" s="335"/>
      <c r="C45" s="336" t="s">
        <v>135</v>
      </c>
      <c r="D45" s="342" t="s">
        <v>36</v>
      </c>
      <c r="E45" s="382">
        <v>15</v>
      </c>
    </row>
    <row r="46" spans="1:5" x14ac:dyDescent="0.25">
      <c r="A46" s="381" t="s">
        <v>369</v>
      </c>
      <c r="B46" s="335"/>
      <c r="C46" s="336" t="s">
        <v>340</v>
      </c>
      <c r="D46" s="342" t="s">
        <v>36</v>
      </c>
      <c r="E46" s="382">
        <v>1</v>
      </c>
    </row>
    <row r="47" spans="1:5" x14ac:dyDescent="0.25">
      <c r="A47" s="381" t="s">
        <v>370</v>
      </c>
      <c r="B47" s="335"/>
      <c r="C47" s="336" t="s">
        <v>341</v>
      </c>
      <c r="D47" s="342" t="s">
        <v>36</v>
      </c>
      <c r="E47" s="382">
        <v>5</v>
      </c>
    </row>
    <row r="48" spans="1:5" x14ac:dyDescent="0.25">
      <c r="A48" s="381" t="s">
        <v>371</v>
      </c>
      <c r="B48" s="335"/>
      <c r="C48" s="336" t="s">
        <v>342</v>
      </c>
      <c r="D48" s="342" t="s">
        <v>36</v>
      </c>
      <c r="E48" s="382">
        <v>6</v>
      </c>
    </row>
    <row r="49" spans="1:5" x14ac:dyDescent="0.25">
      <c r="A49" s="381" t="s">
        <v>372</v>
      </c>
      <c r="B49" s="335"/>
      <c r="C49" s="336" t="s">
        <v>361</v>
      </c>
      <c r="D49" s="342" t="s">
        <v>36</v>
      </c>
      <c r="E49" s="382">
        <v>2</v>
      </c>
    </row>
    <row r="50" spans="1:5" ht="28.5" x14ac:dyDescent="0.25">
      <c r="A50" s="379" t="s">
        <v>99</v>
      </c>
      <c r="B50" s="331"/>
      <c r="C50" s="332" t="s">
        <v>136</v>
      </c>
      <c r="D50" s="538" t="s">
        <v>36</v>
      </c>
      <c r="E50" s="380">
        <v>2</v>
      </c>
    </row>
    <row r="51" spans="1:5" x14ac:dyDescent="0.25">
      <c r="A51" s="381" t="s">
        <v>104</v>
      </c>
      <c r="B51" s="342"/>
      <c r="C51" s="336" t="s">
        <v>137</v>
      </c>
      <c r="D51" s="539" t="s">
        <v>36</v>
      </c>
      <c r="E51" s="382">
        <v>2</v>
      </c>
    </row>
    <row r="52" spans="1:5" ht="30" x14ac:dyDescent="0.25">
      <c r="A52" s="381" t="s">
        <v>169</v>
      </c>
      <c r="B52" s="342"/>
      <c r="C52" s="336" t="s">
        <v>138</v>
      </c>
      <c r="D52" s="539" t="s">
        <v>36</v>
      </c>
      <c r="E52" s="382">
        <v>2</v>
      </c>
    </row>
    <row r="53" spans="1:5" ht="30" x14ac:dyDescent="0.25">
      <c r="A53" s="381" t="s">
        <v>200</v>
      </c>
      <c r="B53" s="342"/>
      <c r="C53" s="336" t="s">
        <v>139</v>
      </c>
      <c r="D53" s="539" t="s">
        <v>36</v>
      </c>
      <c r="E53" s="382">
        <v>4</v>
      </c>
    </row>
    <row r="54" spans="1:5" ht="30" x14ac:dyDescent="0.25">
      <c r="A54" s="381" t="s">
        <v>201</v>
      </c>
      <c r="B54" s="342"/>
      <c r="C54" s="336" t="s">
        <v>140</v>
      </c>
      <c r="D54" s="539" t="s">
        <v>36</v>
      </c>
      <c r="E54" s="382">
        <v>2</v>
      </c>
    </row>
    <row r="55" spans="1:5" ht="30" x14ac:dyDescent="0.25">
      <c r="A55" s="381" t="s">
        <v>202</v>
      </c>
      <c r="B55" s="342"/>
      <c r="C55" s="336" t="s">
        <v>363</v>
      </c>
      <c r="D55" s="539" t="s">
        <v>36</v>
      </c>
      <c r="E55" s="382">
        <v>2</v>
      </c>
    </row>
    <row r="56" spans="1:5" ht="30" x14ac:dyDescent="0.25">
      <c r="A56" s="381" t="s">
        <v>203</v>
      </c>
      <c r="B56" s="342"/>
      <c r="C56" s="336" t="s">
        <v>142</v>
      </c>
      <c r="D56" s="539" t="s">
        <v>36</v>
      </c>
      <c r="E56" s="382">
        <v>6</v>
      </c>
    </row>
    <row r="57" spans="1:5" ht="30" x14ac:dyDescent="0.25">
      <c r="A57" s="381" t="s">
        <v>204</v>
      </c>
      <c r="B57" s="342"/>
      <c r="C57" s="336" t="s">
        <v>143</v>
      </c>
      <c r="D57" s="539" t="s">
        <v>36</v>
      </c>
      <c r="E57" s="382">
        <v>2</v>
      </c>
    </row>
    <row r="58" spans="1:5" ht="28.5" x14ac:dyDescent="0.25">
      <c r="A58" s="379" t="s">
        <v>61</v>
      </c>
      <c r="B58" s="337"/>
      <c r="C58" s="338" t="s">
        <v>53</v>
      </c>
      <c r="D58" s="545" t="s">
        <v>36</v>
      </c>
      <c r="E58" s="380">
        <v>32</v>
      </c>
    </row>
    <row r="59" spans="1:5" x14ac:dyDescent="0.25">
      <c r="A59" s="379" t="s">
        <v>64</v>
      </c>
      <c r="B59" s="331"/>
      <c r="C59" s="332" t="s">
        <v>55</v>
      </c>
      <c r="D59" s="538" t="s">
        <v>36</v>
      </c>
      <c r="E59" s="380">
        <v>16</v>
      </c>
    </row>
    <row r="60" spans="1:5" x14ac:dyDescent="0.25">
      <c r="A60" s="381" t="s">
        <v>357</v>
      </c>
      <c r="B60" s="342"/>
      <c r="C60" s="336" t="s">
        <v>150</v>
      </c>
      <c r="D60" s="539" t="s">
        <v>36</v>
      </c>
      <c r="E60" s="382">
        <v>10</v>
      </c>
    </row>
    <row r="61" spans="1:5" x14ac:dyDescent="0.25">
      <c r="A61" s="381" t="s">
        <v>359</v>
      </c>
      <c r="B61" s="342"/>
      <c r="C61" s="336" t="s">
        <v>151</v>
      </c>
      <c r="D61" s="539" t="s">
        <v>36</v>
      </c>
      <c r="E61" s="382">
        <v>6</v>
      </c>
    </row>
    <row r="62" spans="1:5" x14ac:dyDescent="0.25">
      <c r="A62" s="379" t="s">
        <v>106</v>
      </c>
      <c r="B62" s="331"/>
      <c r="C62" s="332" t="s">
        <v>190</v>
      </c>
      <c r="D62" s="538" t="s">
        <v>25</v>
      </c>
      <c r="E62" s="520">
        <f>E26+E28+E32</f>
        <v>212.6</v>
      </c>
    </row>
    <row r="63" spans="1:5" x14ac:dyDescent="0.25">
      <c r="A63" s="379" t="s">
        <v>108</v>
      </c>
      <c r="B63" s="331"/>
      <c r="C63" s="332" t="s">
        <v>384</v>
      </c>
      <c r="D63" s="538" t="s">
        <v>25</v>
      </c>
      <c r="E63" s="520">
        <f>E36</f>
        <v>18.3</v>
      </c>
    </row>
    <row r="64" spans="1:5" ht="15" customHeight="1" x14ac:dyDescent="0.25">
      <c r="A64" s="379" t="s">
        <v>111</v>
      </c>
      <c r="B64" s="337"/>
      <c r="C64" s="332" t="s">
        <v>191</v>
      </c>
      <c r="D64" s="538" t="s">
        <v>25</v>
      </c>
      <c r="E64" s="520">
        <f>E62</f>
        <v>212.6</v>
      </c>
    </row>
    <row r="65" spans="1:5" ht="18" customHeight="1" thickBot="1" x14ac:dyDescent="0.3">
      <c r="A65" s="561" t="s">
        <v>113</v>
      </c>
      <c r="B65" s="571"/>
      <c r="C65" s="555" t="s">
        <v>385</v>
      </c>
      <c r="D65" s="529" t="s">
        <v>25</v>
      </c>
      <c r="E65" s="572">
        <f>E63</f>
        <v>18.3</v>
      </c>
    </row>
    <row r="66" spans="1:5" ht="22.5" customHeight="1" x14ac:dyDescent="0.25">
      <c r="A66" s="536"/>
      <c r="B66" s="502" t="s">
        <v>59</v>
      </c>
      <c r="C66" s="503" t="s">
        <v>231</v>
      </c>
      <c r="D66" s="503"/>
      <c r="E66" s="537"/>
    </row>
    <row r="67" spans="1:5" ht="29.25" customHeight="1" x14ac:dyDescent="0.25">
      <c r="A67" s="379" t="s">
        <v>263</v>
      </c>
      <c r="B67" s="337"/>
      <c r="C67" s="338" t="s">
        <v>71</v>
      </c>
      <c r="D67" s="545" t="s">
        <v>16</v>
      </c>
      <c r="E67" s="380">
        <v>95.84</v>
      </c>
    </row>
    <row r="68" spans="1:5" ht="29.25" customHeight="1" x14ac:dyDescent="0.25">
      <c r="A68" s="379" t="s">
        <v>264</v>
      </c>
      <c r="B68" s="337"/>
      <c r="C68" s="338" t="s">
        <v>73</v>
      </c>
      <c r="D68" s="545" t="s">
        <v>16</v>
      </c>
      <c r="E68" s="380">
        <v>2.96</v>
      </c>
    </row>
    <row r="69" spans="1:5" x14ac:dyDescent="0.25">
      <c r="A69" s="373" t="s">
        <v>265</v>
      </c>
      <c r="B69" s="325"/>
      <c r="C69" s="466" t="s">
        <v>347</v>
      </c>
      <c r="D69" s="450" t="s">
        <v>36</v>
      </c>
      <c r="E69" s="380">
        <v>1</v>
      </c>
    </row>
    <row r="70" spans="1:5" x14ac:dyDescent="0.25">
      <c r="A70" s="373" t="s">
        <v>267</v>
      </c>
      <c r="B70" s="325"/>
      <c r="C70" s="466" t="s">
        <v>348</v>
      </c>
      <c r="D70" s="450" t="s">
        <v>25</v>
      </c>
      <c r="E70" s="380">
        <v>30.5</v>
      </c>
    </row>
    <row r="71" spans="1:5" x14ac:dyDescent="0.25">
      <c r="A71" s="373" t="s">
        <v>268</v>
      </c>
      <c r="B71" s="325"/>
      <c r="C71" s="466" t="s">
        <v>349</v>
      </c>
      <c r="D71" s="450" t="s">
        <v>25</v>
      </c>
      <c r="E71" s="380">
        <v>30.5</v>
      </c>
    </row>
    <row r="72" spans="1:5" x14ac:dyDescent="0.25">
      <c r="A72" s="373" t="s">
        <v>269</v>
      </c>
      <c r="B72" s="325"/>
      <c r="C72" s="466" t="s">
        <v>354</v>
      </c>
      <c r="D72" s="450" t="s">
        <v>25</v>
      </c>
      <c r="E72" s="380">
        <v>30.5</v>
      </c>
    </row>
    <row r="73" spans="1:5" x14ac:dyDescent="0.25">
      <c r="A73" s="373" t="s">
        <v>271</v>
      </c>
      <c r="B73" s="325"/>
      <c r="C73" s="466" t="s">
        <v>353</v>
      </c>
      <c r="D73" s="450" t="s">
        <v>25</v>
      </c>
      <c r="E73" s="380">
        <v>30.5</v>
      </c>
    </row>
    <row r="74" spans="1:5" x14ac:dyDescent="0.25">
      <c r="A74" s="373" t="s">
        <v>272</v>
      </c>
      <c r="B74" s="325"/>
      <c r="C74" s="466" t="s">
        <v>352</v>
      </c>
      <c r="D74" s="450" t="s">
        <v>25</v>
      </c>
      <c r="E74" s="380">
        <v>30.5</v>
      </c>
    </row>
    <row r="75" spans="1:5" x14ac:dyDescent="0.25">
      <c r="A75" s="373" t="s">
        <v>275</v>
      </c>
      <c r="B75" s="325"/>
      <c r="C75" s="466" t="s">
        <v>351</v>
      </c>
      <c r="D75" s="450" t="s">
        <v>25</v>
      </c>
      <c r="E75" s="380">
        <v>30.5</v>
      </c>
    </row>
    <row r="76" spans="1:5" x14ac:dyDescent="0.25">
      <c r="A76" s="373" t="s">
        <v>276</v>
      </c>
      <c r="B76" s="325"/>
      <c r="C76" s="466" t="s">
        <v>365</v>
      </c>
      <c r="D76" s="450" t="s">
        <v>25</v>
      </c>
      <c r="E76" s="380">
        <v>30.5</v>
      </c>
    </row>
    <row r="77" spans="1:5" x14ac:dyDescent="0.25">
      <c r="A77" s="373" t="s">
        <v>373</v>
      </c>
      <c r="B77" s="325"/>
      <c r="C77" s="466" t="s">
        <v>364</v>
      </c>
      <c r="D77" s="450" t="s">
        <v>25</v>
      </c>
      <c r="E77" s="380">
        <v>30.5</v>
      </c>
    </row>
    <row r="78" spans="1:5" x14ac:dyDescent="0.25">
      <c r="A78" s="373" t="s">
        <v>277</v>
      </c>
      <c r="B78" s="325"/>
      <c r="C78" s="466" t="s">
        <v>366</v>
      </c>
      <c r="D78" s="450" t="s">
        <v>25</v>
      </c>
      <c r="E78" s="380">
        <v>30.5</v>
      </c>
    </row>
    <row r="79" spans="1:5" x14ac:dyDescent="0.25">
      <c r="A79" s="381" t="s">
        <v>588</v>
      </c>
      <c r="B79" s="335"/>
      <c r="C79" s="339" t="s">
        <v>587</v>
      </c>
      <c r="D79" s="546" t="s">
        <v>25</v>
      </c>
      <c r="E79" s="382">
        <v>30.5</v>
      </c>
    </row>
    <row r="80" spans="1:5" x14ac:dyDescent="0.25">
      <c r="A80" s="373" t="s">
        <v>374</v>
      </c>
      <c r="B80" s="325"/>
      <c r="C80" s="466" t="s">
        <v>356</v>
      </c>
      <c r="D80" s="450" t="s">
        <v>36</v>
      </c>
      <c r="E80" s="380">
        <v>1</v>
      </c>
    </row>
    <row r="81" spans="1:5" x14ac:dyDescent="0.25">
      <c r="A81" s="379" t="s">
        <v>375</v>
      </c>
      <c r="B81" s="337"/>
      <c r="C81" s="338" t="s">
        <v>156</v>
      </c>
      <c r="D81" s="545" t="s">
        <v>16</v>
      </c>
      <c r="E81" s="380">
        <v>11.32</v>
      </c>
    </row>
    <row r="82" spans="1:5" x14ac:dyDescent="0.25">
      <c r="A82" s="381" t="s">
        <v>386</v>
      </c>
      <c r="B82" s="335"/>
      <c r="C82" s="339" t="s">
        <v>109</v>
      </c>
      <c r="D82" s="546" t="s">
        <v>16</v>
      </c>
      <c r="E82" s="382">
        <f>E81*1.1</f>
        <v>12.452000000000002</v>
      </c>
    </row>
    <row r="83" spans="1:5" ht="29.25" customHeight="1" x14ac:dyDescent="0.25">
      <c r="A83" s="379" t="s">
        <v>376</v>
      </c>
      <c r="B83" s="337"/>
      <c r="C83" s="338" t="s">
        <v>154</v>
      </c>
      <c r="D83" s="545" t="s">
        <v>16</v>
      </c>
      <c r="E83" s="380">
        <v>86.25</v>
      </c>
    </row>
    <row r="84" spans="1:5" x14ac:dyDescent="0.25">
      <c r="A84" s="381" t="s">
        <v>566</v>
      </c>
      <c r="B84" s="335"/>
      <c r="C84" s="339" t="s">
        <v>109</v>
      </c>
      <c r="D84" s="546" t="s">
        <v>16</v>
      </c>
      <c r="E84" s="382">
        <f>E83*1.1</f>
        <v>94.875000000000014</v>
      </c>
    </row>
    <row r="85" spans="1:5" x14ac:dyDescent="0.25">
      <c r="A85" s="379" t="s">
        <v>377</v>
      </c>
      <c r="B85" s="337"/>
      <c r="C85" s="338" t="s">
        <v>18</v>
      </c>
      <c r="D85" s="545" t="s">
        <v>16</v>
      </c>
      <c r="E85" s="380">
        <f>E83+E81</f>
        <v>97.57</v>
      </c>
    </row>
    <row r="86" spans="1:5" x14ac:dyDescent="0.25">
      <c r="A86" s="379" t="s">
        <v>378</v>
      </c>
      <c r="B86" s="337"/>
      <c r="C86" s="338" t="s">
        <v>74</v>
      </c>
      <c r="D86" s="545" t="s">
        <v>16</v>
      </c>
      <c r="E86" s="380">
        <v>0.96</v>
      </c>
    </row>
    <row r="87" spans="1:5" x14ac:dyDescent="0.25">
      <c r="A87" s="381" t="s">
        <v>379</v>
      </c>
      <c r="B87" s="335"/>
      <c r="C87" s="339" t="s">
        <v>109</v>
      </c>
      <c r="D87" s="546" t="s">
        <v>16</v>
      </c>
      <c r="E87" s="382">
        <f>E86*1.1</f>
        <v>1.056</v>
      </c>
    </row>
    <row r="88" spans="1:5" x14ac:dyDescent="0.25">
      <c r="A88" s="379" t="s">
        <v>380</v>
      </c>
      <c r="B88" s="331"/>
      <c r="C88" s="340" t="s">
        <v>198</v>
      </c>
      <c r="D88" s="538" t="s">
        <v>60</v>
      </c>
      <c r="E88" s="520">
        <f>(E67+E68)*1.6</f>
        <v>158.08000000000001</v>
      </c>
    </row>
    <row r="89" spans="1:5" ht="29.25" customHeight="1" x14ac:dyDescent="0.25">
      <c r="A89" s="379" t="s">
        <v>381</v>
      </c>
      <c r="B89" s="337"/>
      <c r="C89" s="338" t="s">
        <v>208</v>
      </c>
      <c r="D89" s="545" t="s">
        <v>25</v>
      </c>
      <c r="E89" s="380">
        <v>32</v>
      </c>
    </row>
    <row r="90" spans="1:5" ht="45" x14ac:dyDescent="0.25">
      <c r="A90" s="381" t="s">
        <v>387</v>
      </c>
      <c r="B90" s="335"/>
      <c r="C90" s="339" t="s">
        <v>205</v>
      </c>
      <c r="D90" s="546" t="s">
        <v>25</v>
      </c>
      <c r="E90" s="382">
        <v>32.799999999999997</v>
      </c>
    </row>
    <row r="91" spans="1:5" x14ac:dyDescent="0.25">
      <c r="A91" s="381" t="s">
        <v>388</v>
      </c>
      <c r="B91" s="335"/>
      <c r="C91" s="339" t="s">
        <v>569</v>
      </c>
      <c r="D91" s="548" t="s">
        <v>36</v>
      </c>
      <c r="E91" s="382">
        <v>11</v>
      </c>
    </row>
    <row r="92" spans="1:5" x14ac:dyDescent="0.25">
      <c r="A92" s="381" t="s">
        <v>573</v>
      </c>
      <c r="B92" s="335"/>
      <c r="C92" s="339" t="s">
        <v>568</v>
      </c>
      <c r="D92" s="548" t="s">
        <v>36</v>
      </c>
      <c r="E92" s="382">
        <v>5</v>
      </c>
    </row>
    <row r="93" spans="1:5" ht="19.5" customHeight="1" x14ac:dyDescent="0.25">
      <c r="A93" s="379" t="s">
        <v>382</v>
      </c>
      <c r="B93" s="337"/>
      <c r="C93" s="338" t="s">
        <v>53</v>
      </c>
      <c r="D93" s="545" t="s">
        <v>36</v>
      </c>
      <c r="E93" s="380">
        <v>1</v>
      </c>
    </row>
    <row r="94" spans="1:5" ht="16.5" customHeight="1" x14ac:dyDescent="0.25">
      <c r="A94" s="379" t="s">
        <v>383</v>
      </c>
      <c r="B94" s="337"/>
      <c r="C94" s="338" t="s">
        <v>128</v>
      </c>
      <c r="D94" s="545" t="s">
        <v>159</v>
      </c>
      <c r="E94" s="380">
        <v>1</v>
      </c>
    </row>
    <row r="95" spans="1:5" x14ac:dyDescent="0.25">
      <c r="A95" s="379" t="s">
        <v>389</v>
      </c>
      <c r="B95" s="337"/>
      <c r="C95" s="338" t="s">
        <v>190</v>
      </c>
      <c r="D95" s="545" t="s">
        <v>25</v>
      </c>
      <c r="E95" s="380">
        <v>32</v>
      </c>
    </row>
    <row r="96" spans="1:5" ht="15.75" thickBot="1" x14ac:dyDescent="0.3">
      <c r="A96" s="420" t="s">
        <v>390</v>
      </c>
      <c r="B96" s="421"/>
      <c r="C96" s="566" t="s">
        <v>160</v>
      </c>
      <c r="D96" s="567" t="s">
        <v>25</v>
      </c>
      <c r="E96" s="423">
        <v>32</v>
      </c>
    </row>
    <row r="97" spans="1:35" x14ac:dyDescent="0.25">
      <c r="A97" s="3"/>
      <c r="B97" s="143"/>
      <c r="C97" s="3"/>
      <c r="D97" s="3"/>
      <c r="E97" s="3"/>
    </row>
    <row r="98" spans="1:35" ht="28.5" customHeight="1" x14ac:dyDescent="0.25">
      <c r="A98" s="487" t="s">
        <v>328</v>
      </c>
      <c r="B98" s="498"/>
      <c r="C98" s="498" t="s">
        <v>330</v>
      </c>
      <c r="D98" s="498"/>
      <c r="E98" s="498"/>
      <c r="F98" s="498"/>
      <c r="G98" s="498"/>
      <c r="H98" s="498"/>
      <c r="I98" s="487"/>
      <c r="J98" s="487"/>
      <c r="K98" s="487"/>
      <c r="L98" s="487"/>
      <c r="M98" s="487"/>
      <c r="N98" s="487"/>
      <c r="O98" s="487"/>
      <c r="P98" s="487"/>
      <c r="Q98" s="487"/>
      <c r="R98" s="487"/>
      <c r="S98" s="488"/>
      <c r="T98" s="489"/>
      <c r="U98" s="490"/>
      <c r="V98" s="490"/>
      <c r="W98" s="489"/>
      <c r="X98" s="490"/>
      <c r="Y98" s="490"/>
      <c r="Z98" s="489"/>
      <c r="AA98" s="490"/>
      <c r="AB98" s="490"/>
      <c r="AC98" s="489"/>
      <c r="AD98" s="490"/>
      <c r="AE98" s="490"/>
      <c r="AF98" s="489"/>
      <c r="AG98" s="491"/>
      <c r="AH98" s="491"/>
      <c r="AI98" s="492"/>
    </row>
    <row r="99" spans="1:35" ht="15.75" customHeight="1" x14ac:dyDescent="0.25">
      <c r="A99" s="487"/>
      <c r="B99" s="498"/>
      <c r="C99" s="498"/>
      <c r="D99" s="498"/>
      <c r="E99" s="498"/>
      <c r="F99" s="498"/>
      <c r="G99" s="498"/>
      <c r="H99" s="498"/>
      <c r="I99" s="487"/>
      <c r="J99" s="487"/>
      <c r="K99" s="487"/>
      <c r="L99" s="487"/>
      <c r="M99" s="487"/>
      <c r="N99" s="487"/>
      <c r="O99" s="487"/>
      <c r="P99" s="487"/>
      <c r="Q99" s="487"/>
      <c r="R99" s="487"/>
      <c r="S99" s="488"/>
      <c r="T99" s="489"/>
      <c r="U99" s="490"/>
      <c r="V99" s="490"/>
      <c r="W99" s="489"/>
      <c r="X99" s="490"/>
      <c r="Y99" s="490"/>
      <c r="Z99" s="489"/>
      <c r="AA99" s="490"/>
      <c r="AB99" s="490"/>
      <c r="AC99" s="489"/>
      <c r="AD99" s="490"/>
      <c r="AE99" s="490"/>
      <c r="AF99" s="489"/>
      <c r="AG99" s="491"/>
      <c r="AH99" s="491"/>
      <c r="AI99" s="491"/>
    </row>
    <row r="100" spans="1:35" ht="15.75" customHeight="1" x14ac:dyDescent="0.25">
      <c r="A100" s="487" t="s">
        <v>329</v>
      </c>
      <c r="B100" s="498"/>
      <c r="C100" s="498" t="s">
        <v>331</v>
      </c>
      <c r="D100" s="498"/>
      <c r="E100" s="498"/>
      <c r="F100" s="498"/>
      <c r="G100" s="498"/>
      <c r="H100" s="498"/>
      <c r="I100" s="487"/>
      <c r="J100" s="487"/>
      <c r="K100" s="487"/>
      <c r="L100" s="487"/>
      <c r="M100" s="487"/>
      <c r="N100" s="487"/>
      <c r="O100" s="487"/>
      <c r="P100" s="487"/>
      <c r="Q100" s="487"/>
      <c r="R100" s="487"/>
      <c r="S100" s="488"/>
      <c r="T100" s="489"/>
      <c r="U100" s="490"/>
      <c r="V100" s="490"/>
      <c r="W100" s="489"/>
      <c r="X100" s="490"/>
      <c r="Y100" s="490"/>
      <c r="Z100" s="489"/>
      <c r="AA100" s="490"/>
      <c r="AB100" s="490"/>
      <c r="AC100" s="489"/>
      <c r="AD100" s="490"/>
      <c r="AE100" s="490"/>
      <c r="AF100" s="489"/>
      <c r="AG100" s="491"/>
      <c r="AH100" s="491"/>
      <c r="AI100" s="492"/>
    </row>
    <row r="101" spans="1:35" ht="15.75" customHeight="1" x14ac:dyDescent="0.25">
      <c r="A101" s="493"/>
      <c r="B101" s="499"/>
      <c r="C101" s="499"/>
      <c r="D101" s="499"/>
      <c r="E101" s="499"/>
      <c r="F101" s="500"/>
      <c r="G101" s="500"/>
      <c r="H101" s="500"/>
      <c r="I101" s="495"/>
      <c r="J101" s="495"/>
      <c r="K101" s="495"/>
      <c r="L101" s="495"/>
      <c r="M101" s="495"/>
      <c r="N101" s="495"/>
      <c r="O101" s="495"/>
      <c r="P101" s="495"/>
      <c r="Q101" s="495"/>
      <c r="R101" s="495"/>
      <c r="S101" s="495"/>
      <c r="T101" s="494"/>
      <c r="U101" s="494"/>
      <c r="V101" s="494"/>
      <c r="W101" s="494"/>
      <c r="X101" s="494"/>
      <c r="Y101" s="496"/>
      <c r="Z101" s="497"/>
      <c r="AA101" s="497"/>
      <c r="AB101" s="497"/>
      <c r="AC101" s="497"/>
      <c r="AD101" s="497"/>
      <c r="AE101" s="497"/>
      <c r="AF101" s="491"/>
      <c r="AG101" s="491"/>
      <c r="AH101" s="491"/>
      <c r="AI101" s="491"/>
    </row>
    <row r="102" spans="1:35" ht="15.75" customHeight="1" x14ac:dyDescent="0.25">
      <c r="A102" s="487" t="s">
        <v>333</v>
      </c>
      <c r="B102" s="498"/>
      <c r="C102" s="498" t="s">
        <v>332</v>
      </c>
      <c r="D102" s="498"/>
      <c r="E102" s="498"/>
      <c r="F102" s="500"/>
      <c r="G102" s="500"/>
      <c r="H102" s="500"/>
      <c r="I102" s="495"/>
      <c r="J102" s="495"/>
      <c r="K102" s="495"/>
      <c r="L102" s="495"/>
      <c r="M102" s="495"/>
      <c r="N102" s="495"/>
      <c r="O102" s="495"/>
      <c r="P102" s="495"/>
      <c r="Q102" s="495"/>
      <c r="R102" s="495"/>
      <c r="S102" s="495"/>
      <c r="T102" s="494"/>
      <c r="U102" s="494"/>
      <c r="V102" s="494"/>
      <c r="W102" s="494"/>
      <c r="X102" s="494"/>
      <c r="Y102" s="496"/>
      <c r="Z102" s="497"/>
      <c r="AA102" s="497"/>
      <c r="AB102" s="497"/>
      <c r="AC102" s="497"/>
      <c r="AD102" s="497"/>
      <c r="AE102" s="497"/>
      <c r="AF102" s="489"/>
      <c r="AG102" s="491"/>
      <c r="AH102" s="491"/>
      <c r="AI102" s="492"/>
    </row>
  </sheetData>
  <autoFilter ref="A13:E13" xr:uid="{2CEBBF08-7017-4F0E-BCF6-C10BDC34B791}"/>
  <mergeCells count="6">
    <mergeCell ref="A9:E9"/>
    <mergeCell ref="A10:E10"/>
    <mergeCell ref="A11:A12"/>
    <mergeCell ref="C11:C12"/>
    <mergeCell ref="D11:D12"/>
    <mergeCell ref="E11:E12"/>
  </mergeCells>
  <phoneticPr fontId="16" type="noConversion"/>
  <conditionalFormatting sqref="Y98:AI102">
    <cfRule type="cellIs" dxfId="2" priority="1" operator="lessThan">
      <formula>0</formula>
    </cfRule>
  </conditionalFormatting>
  <pageMargins left="0.31496062992125984" right="0.31496062992125984" top="0.55118110236220474" bottom="0.35433070866141736" header="0.31496062992125984" footer="0.31496062992125984"/>
  <pageSetup paperSize="9"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C52DC-529A-4E85-A5B6-69800EDB5083}">
  <sheetPr>
    <tabColor rgb="FFFF0000"/>
    <pageSetUpPr fitToPage="1"/>
  </sheetPr>
  <dimension ref="A1:T62"/>
  <sheetViews>
    <sheetView view="pageBreakPreview" zoomScaleNormal="100" zoomScaleSheetLayoutView="100" workbookViewId="0">
      <selection activeCell="A13" sqref="A13:T13"/>
    </sheetView>
  </sheetViews>
  <sheetFormatPr defaultRowHeight="12.75" outlineLevelCol="1" x14ac:dyDescent="0.25"/>
  <cols>
    <col min="1" max="1" width="6.85546875" style="579" customWidth="1"/>
    <col min="2" max="2" width="12.28515625" style="579" customWidth="1"/>
    <col min="3" max="3" width="62.5703125" style="579" customWidth="1"/>
    <col min="4" max="4" width="6" style="581" customWidth="1"/>
    <col min="5" max="5" width="12.85546875" style="579" customWidth="1"/>
    <col min="6" max="11" width="6.7109375" style="579" hidden="1" customWidth="1" outlineLevel="1"/>
    <col min="12" max="13" width="7" style="579" hidden="1" customWidth="1" outlineLevel="1"/>
    <col min="14" max="15" width="6.7109375" style="579" hidden="1" customWidth="1" outlineLevel="1"/>
    <col min="16" max="19" width="7" style="579" hidden="1" customWidth="1" outlineLevel="1"/>
    <col min="20" max="20" width="39.5703125" style="580" customWidth="1" collapsed="1"/>
    <col min="21" max="16384" width="9.140625" style="579"/>
  </cols>
  <sheetData>
    <row r="1" spans="1:20" s="612" customFormat="1" ht="15" customHeight="1" x14ac:dyDescent="0.25">
      <c r="A1" s="615"/>
      <c r="B1" s="615"/>
      <c r="C1" s="615"/>
      <c r="D1" s="615"/>
      <c r="E1" s="614"/>
      <c r="F1" s="613"/>
      <c r="G1" s="613"/>
      <c r="H1" s="613"/>
      <c r="I1" s="613"/>
      <c r="J1" s="613"/>
      <c r="K1" s="613"/>
      <c r="L1" s="613"/>
      <c r="M1" s="613"/>
      <c r="N1" s="613"/>
      <c r="O1" s="613"/>
      <c r="P1" s="613"/>
      <c r="Q1" s="613"/>
      <c r="R1" s="613"/>
      <c r="S1" s="613"/>
      <c r="T1" s="613"/>
    </row>
    <row r="2" spans="1:20" s="605" customFormat="1" ht="15" customHeight="1" x14ac:dyDescent="0.25">
      <c r="A2" s="611" t="s">
        <v>317</v>
      </c>
      <c r="B2" s="611"/>
      <c r="C2" s="611"/>
      <c r="D2" s="611"/>
      <c r="E2" s="607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603"/>
      <c r="T2" s="630" t="s">
        <v>316</v>
      </c>
    </row>
    <row r="3" spans="1:20" s="605" customFormat="1" ht="15" customHeight="1" x14ac:dyDescent="0.25">
      <c r="A3" s="610" t="s">
        <v>556</v>
      </c>
      <c r="B3" s="610"/>
      <c r="C3" s="610"/>
      <c r="D3" s="610"/>
      <c r="E3" s="607"/>
      <c r="F3" s="603"/>
      <c r="G3" s="603"/>
      <c r="H3" s="603"/>
      <c r="I3" s="603"/>
      <c r="J3" s="603"/>
      <c r="K3" s="603"/>
      <c r="L3" s="603"/>
      <c r="M3" s="603"/>
      <c r="N3" s="603"/>
      <c r="O3" s="603"/>
      <c r="P3" s="603"/>
      <c r="Q3" s="603"/>
      <c r="R3" s="603"/>
      <c r="S3" s="603"/>
      <c r="T3" s="627" t="s">
        <v>318</v>
      </c>
    </row>
    <row r="4" spans="1:20" s="605" customFormat="1" ht="15" customHeight="1" x14ac:dyDescent="0.25">
      <c r="A4" s="611" t="s">
        <v>320</v>
      </c>
      <c r="B4" s="611"/>
      <c r="C4" s="611"/>
      <c r="D4" s="611"/>
      <c r="E4" s="607"/>
      <c r="F4" s="603"/>
      <c r="G4" s="603"/>
      <c r="H4" s="603"/>
      <c r="I4" s="603"/>
      <c r="J4" s="603"/>
      <c r="K4" s="603"/>
      <c r="L4" s="603"/>
      <c r="M4" s="603"/>
      <c r="N4" s="603"/>
      <c r="O4" s="603"/>
      <c r="P4" s="603"/>
      <c r="Q4" s="603"/>
      <c r="R4" s="603"/>
      <c r="S4" s="603"/>
      <c r="T4" s="629"/>
    </row>
    <row r="5" spans="1:20" s="605" customFormat="1" ht="15" customHeight="1" x14ac:dyDescent="0.25">
      <c r="A5" s="610" t="s">
        <v>322</v>
      </c>
      <c r="B5" s="610"/>
      <c r="C5" s="610"/>
      <c r="D5" s="610"/>
      <c r="E5" s="607"/>
      <c r="F5" s="603"/>
      <c r="G5" s="603"/>
      <c r="H5" s="603"/>
      <c r="I5" s="603"/>
      <c r="J5" s="603"/>
      <c r="K5" s="603"/>
      <c r="L5" s="603"/>
      <c r="M5" s="603"/>
      <c r="N5" s="603"/>
      <c r="O5" s="603"/>
      <c r="P5" s="603"/>
      <c r="Q5" s="603"/>
      <c r="R5" s="603"/>
      <c r="S5" s="603"/>
      <c r="T5" s="627" t="s">
        <v>321</v>
      </c>
    </row>
    <row r="6" spans="1:20" s="605" customFormat="1" ht="15" customHeight="1" x14ac:dyDescent="0.25">
      <c r="A6" s="610" t="s">
        <v>323</v>
      </c>
      <c r="B6" s="610"/>
      <c r="C6" s="610"/>
      <c r="D6" s="610"/>
      <c r="E6" s="607"/>
      <c r="F6" s="603"/>
      <c r="G6" s="603"/>
      <c r="H6" s="603"/>
      <c r="I6" s="603"/>
      <c r="J6" s="603"/>
      <c r="K6" s="603"/>
      <c r="L6" s="603"/>
      <c r="M6" s="603"/>
      <c r="N6" s="603"/>
      <c r="O6" s="603"/>
      <c r="P6" s="603"/>
      <c r="Q6" s="603"/>
      <c r="R6" s="603"/>
      <c r="S6" s="603"/>
      <c r="T6" s="628"/>
    </row>
    <row r="7" spans="1:20" s="605" customFormat="1" ht="15" customHeight="1" x14ac:dyDescent="0.25">
      <c r="A7" s="610" t="s">
        <v>555</v>
      </c>
      <c r="B7" s="610"/>
      <c r="C7" s="610"/>
      <c r="D7" s="610"/>
      <c r="E7" s="607"/>
      <c r="F7" s="603"/>
      <c r="G7" s="603"/>
      <c r="H7" s="603"/>
      <c r="I7" s="603"/>
      <c r="J7" s="603"/>
      <c r="K7" s="603"/>
      <c r="L7" s="603"/>
      <c r="M7" s="603"/>
      <c r="N7" s="603"/>
      <c r="O7" s="603"/>
      <c r="P7" s="603"/>
      <c r="Q7" s="603"/>
      <c r="R7" s="603"/>
      <c r="S7" s="603"/>
      <c r="T7" s="627" t="s">
        <v>360</v>
      </c>
    </row>
    <row r="8" spans="1:20" s="605" customFormat="1" ht="15" customHeight="1" x14ac:dyDescent="0.4">
      <c r="A8" s="609"/>
      <c r="B8" s="609"/>
      <c r="C8" s="609"/>
      <c r="D8" s="609"/>
      <c r="E8" s="607"/>
      <c r="F8" s="603"/>
      <c r="G8" s="603"/>
      <c r="H8" s="603"/>
      <c r="I8" s="603"/>
      <c r="J8" s="603"/>
      <c r="K8" s="603"/>
      <c r="L8" s="603"/>
      <c r="M8" s="603"/>
      <c r="N8" s="603"/>
      <c r="O8" s="603"/>
      <c r="P8" s="603"/>
      <c r="Q8" s="603"/>
      <c r="R8" s="603"/>
      <c r="S8" s="603"/>
      <c r="T8" s="627"/>
    </row>
    <row r="9" spans="1:20" s="605" customFormat="1" ht="15" customHeight="1" x14ac:dyDescent="0.4">
      <c r="A9" s="609"/>
      <c r="B9" s="609"/>
      <c r="C9" s="609"/>
      <c r="D9" s="609"/>
      <c r="E9" s="607"/>
      <c r="F9" s="603"/>
      <c r="G9" s="603"/>
      <c r="H9" s="603"/>
      <c r="I9" s="603"/>
      <c r="J9" s="603"/>
      <c r="K9" s="603"/>
      <c r="L9" s="603"/>
      <c r="M9" s="603"/>
      <c r="N9" s="603"/>
      <c r="O9" s="603"/>
      <c r="P9" s="603"/>
      <c r="Q9" s="603"/>
      <c r="R9" s="603"/>
      <c r="S9" s="603"/>
      <c r="T9" s="627"/>
    </row>
    <row r="10" spans="1:20" s="605" customFormat="1" ht="15" customHeight="1" x14ac:dyDescent="0.25">
      <c r="A10" s="608"/>
      <c r="B10" s="608"/>
      <c r="C10" s="608"/>
      <c r="D10" s="608"/>
      <c r="E10" s="607"/>
      <c r="F10" s="603"/>
      <c r="G10" s="603"/>
      <c r="H10" s="603"/>
      <c r="I10" s="603"/>
      <c r="J10" s="603"/>
      <c r="K10" s="603"/>
      <c r="L10" s="603"/>
      <c r="M10" s="603"/>
      <c r="N10" s="603"/>
      <c r="O10" s="603"/>
      <c r="P10" s="603"/>
      <c r="Q10" s="603"/>
      <c r="R10" s="603"/>
      <c r="S10" s="603"/>
      <c r="T10" s="627" t="s">
        <v>325</v>
      </c>
    </row>
    <row r="11" spans="1:20" s="605" customFormat="1" ht="15" customHeight="1" x14ac:dyDescent="0.25">
      <c r="A11" s="710" t="s">
        <v>575</v>
      </c>
      <c r="B11" s="710"/>
      <c r="C11" s="710"/>
      <c r="D11" s="710"/>
      <c r="E11" s="710"/>
      <c r="F11" s="710"/>
      <c r="G11" s="710"/>
      <c r="H11" s="710"/>
      <c r="I11" s="710"/>
      <c r="J11" s="710"/>
      <c r="K11" s="710"/>
      <c r="L11" s="710"/>
      <c r="M11" s="710"/>
      <c r="N11" s="710"/>
      <c r="O11" s="710"/>
      <c r="P11" s="710"/>
      <c r="Q11" s="710"/>
      <c r="R11" s="710"/>
      <c r="S11" s="710"/>
      <c r="T11" s="710"/>
    </row>
    <row r="12" spans="1:20" s="605" customFormat="1" ht="15" customHeight="1" x14ac:dyDescent="0.25">
      <c r="A12" s="710"/>
      <c r="B12" s="710"/>
      <c r="C12" s="710"/>
      <c r="D12" s="710"/>
      <c r="E12" s="710"/>
      <c r="F12" s="710"/>
      <c r="G12" s="710"/>
      <c r="H12" s="710"/>
      <c r="I12" s="710"/>
      <c r="J12" s="710"/>
      <c r="K12" s="710"/>
      <c r="L12" s="710"/>
      <c r="M12" s="710"/>
      <c r="N12" s="710"/>
      <c r="O12" s="710"/>
      <c r="P12" s="710"/>
      <c r="Q12" s="710"/>
      <c r="R12" s="710"/>
      <c r="S12" s="710"/>
      <c r="T12" s="710"/>
    </row>
    <row r="13" spans="1:20" s="605" customFormat="1" ht="47.25" customHeight="1" x14ac:dyDescent="0.25">
      <c r="A13" s="711" t="s">
        <v>577</v>
      </c>
      <c r="B13" s="711"/>
      <c r="C13" s="712"/>
      <c r="D13" s="712"/>
      <c r="E13" s="712"/>
      <c r="F13" s="712"/>
      <c r="G13" s="712"/>
      <c r="H13" s="712"/>
      <c r="I13" s="712"/>
      <c r="J13" s="712"/>
      <c r="K13" s="712"/>
      <c r="L13" s="712"/>
      <c r="M13" s="712"/>
      <c r="N13" s="712"/>
      <c r="O13" s="712"/>
      <c r="P13" s="712"/>
      <c r="Q13" s="712"/>
      <c r="R13" s="712"/>
      <c r="S13" s="712"/>
      <c r="T13" s="712"/>
    </row>
    <row r="14" spans="1:20" s="605" customFormat="1" ht="15" customHeight="1" thickBot="1" x14ac:dyDescent="0.3">
      <c r="A14" s="606"/>
      <c r="B14" s="606"/>
      <c r="C14" s="713"/>
      <c r="D14" s="713"/>
      <c r="E14" s="713"/>
      <c r="F14" s="713"/>
      <c r="G14" s="713"/>
      <c r="H14" s="713"/>
      <c r="I14" s="713"/>
      <c r="J14" s="713"/>
      <c r="K14" s="713"/>
      <c r="L14" s="713"/>
      <c r="M14" s="713"/>
      <c r="N14" s="713"/>
      <c r="O14" s="713"/>
      <c r="P14" s="713"/>
      <c r="Q14" s="713"/>
      <c r="R14" s="713"/>
      <c r="S14" s="713"/>
      <c r="T14" s="713"/>
    </row>
    <row r="15" spans="1:20" s="603" customFormat="1" ht="15" customHeight="1" x14ac:dyDescent="0.25">
      <c r="A15" s="714" t="s">
        <v>554</v>
      </c>
      <c r="B15" s="717" t="s">
        <v>553</v>
      </c>
      <c r="C15" s="707" t="s">
        <v>552</v>
      </c>
      <c r="D15" s="707" t="s">
        <v>551</v>
      </c>
      <c r="E15" s="707" t="s">
        <v>550</v>
      </c>
      <c r="F15" s="707" t="s">
        <v>549</v>
      </c>
      <c r="G15" s="707" t="s">
        <v>548</v>
      </c>
      <c r="H15" s="707" t="s">
        <v>547</v>
      </c>
      <c r="I15" s="707" t="s">
        <v>546</v>
      </c>
      <c r="J15" s="707" t="s">
        <v>545</v>
      </c>
      <c r="K15" s="707" t="s">
        <v>544</v>
      </c>
      <c r="L15" s="707" t="s">
        <v>543</v>
      </c>
      <c r="M15" s="707" t="s">
        <v>542</v>
      </c>
      <c r="N15" s="707" t="s">
        <v>541</v>
      </c>
      <c r="O15" s="707" t="s">
        <v>540</v>
      </c>
      <c r="P15" s="707" t="s">
        <v>539</v>
      </c>
      <c r="Q15" s="707" t="s">
        <v>538</v>
      </c>
      <c r="R15" s="707" t="s">
        <v>537</v>
      </c>
      <c r="S15" s="707" t="s">
        <v>536</v>
      </c>
      <c r="T15" s="720" t="s">
        <v>535</v>
      </c>
    </row>
    <row r="16" spans="1:20" s="603" customFormat="1" ht="15" customHeight="1" x14ac:dyDescent="0.25">
      <c r="A16" s="715"/>
      <c r="B16" s="718"/>
      <c r="C16" s="708"/>
      <c r="D16" s="708"/>
      <c r="E16" s="708"/>
      <c r="F16" s="708"/>
      <c r="G16" s="708"/>
      <c r="H16" s="708"/>
      <c r="I16" s="708"/>
      <c r="J16" s="708"/>
      <c r="K16" s="708"/>
      <c r="L16" s="708"/>
      <c r="M16" s="708"/>
      <c r="N16" s="708"/>
      <c r="O16" s="708"/>
      <c r="P16" s="708"/>
      <c r="Q16" s="708"/>
      <c r="R16" s="708"/>
      <c r="S16" s="708"/>
      <c r="T16" s="721"/>
    </row>
    <row r="17" spans="1:20" s="603" customFormat="1" ht="36" customHeight="1" x14ac:dyDescent="0.25">
      <c r="A17" s="715"/>
      <c r="B17" s="718"/>
      <c r="C17" s="708"/>
      <c r="D17" s="708"/>
      <c r="E17" s="708"/>
      <c r="F17" s="708"/>
      <c r="G17" s="708"/>
      <c r="H17" s="708"/>
      <c r="I17" s="708"/>
      <c r="J17" s="708"/>
      <c r="K17" s="708"/>
      <c r="L17" s="708"/>
      <c r="M17" s="708"/>
      <c r="N17" s="708"/>
      <c r="O17" s="708"/>
      <c r="P17" s="708"/>
      <c r="Q17" s="708"/>
      <c r="R17" s="708"/>
      <c r="S17" s="708"/>
      <c r="T17" s="721"/>
    </row>
    <row r="18" spans="1:20" s="603" customFormat="1" ht="68.25" customHeight="1" thickBot="1" x14ac:dyDescent="0.3">
      <c r="A18" s="716"/>
      <c r="B18" s="719"/>
      <c r="C18" s="709"/>
      <c r="D18" s="709"/>
      <c r="E18" s="709"/>
      <c r="F18" s="709"/>
      <c r="G18" s="709"/>
      <c r="H18" s="709"/>
      <c r="I18" s="709"/>
      <c r="J18" s="709"/>
      <c r="K18" s="709"/>
      <c r="L18" s="709"/>
      <c r="M18" s="709"/>
      <c r="N18" s="709"/>
      <c r="O18" s="709"/>
      <c r="P18" s="709"/>
      <c r="Q18" s="709"/>
      <c r="R18" s="709"/>
      <c r="S18" s="709"/>
      <c r="T18" s="604" t="s">
        <v>534</v>
      </c>
    </row>
    <row r="19" spans="1:20" s="603" customFormat="1" ht="13.5" x14ac:dyDescent="0.25">
      <c r="A19" s="722" t="s">
        <v>533</v>
      </c>
      <c r="B19" s="723"/>
      <c r="C19" s="723"/>
      <c r="D19" s="723"/>
      <c r="E19" s="723"/>
      <c r="F19" s="723"/>
      <c r="G19" s="723"/>
      <c r="H19" s="723"/>
      <c r="I19" s="723"/>
      <c r="J19" s="723"/>
      <c r="K19" s="723"/>
      <c r="L19" s="723"/>
      <c r="M19" s="723"/>
      <c r="N19" s="723"/>
      <c r="O19" s="723"/>
      <c r="P19" s="723"/>
      <c r="Q19" s="723"/>
      <c r="R19" s="723"/>
      <c r="S19" s="723"/>
      <c r="T19" s="724"/>
    </row>
    <row r="20" spans="1:20" x14ac:dyDescent="0.25">
      <c r="A20" s="599" t="s">
        <v>21</v>
      </c>
      <c r="B20" s="591"/>
      <c r="C20" s="593" t="s">
        <v>532</v>
      </c>
      <c r="D20" s="619" t="s">
        <v>16</v>
      </c>
      <c r="E20" s="592"/>
      <c r="F20" s="591"/>
      <c r="G20" s="591"/>
      <c r="H20" s="591"/>
      <c r="I20" s="591"/>
      <c r="J20" s="591"/>
      <c r="K20" s="591"/>
      <c r="L20" s="591"/>
      <c r="M20" s="591"/>
      <c r="N20" s="591"/>
      <c r="O20" s="591"/>
      <c r="P20" s="591"/>
      <c r="Q20" s="591"/>
      <c r="R20" s="591"/>
      <c r="S20" s="591"/>
      <c r="T20" s="590">
        <v>341.36</v>
      </c>
    </row>
    <row r="21" spans="1:20" ht="13.5" thickBot="1" x14ac:dyDescent="0.3">
      <c r="A21" s="602" t="s">
        <v>22</v>
      </c>
      <c r="B21" s="596"/>
      <c r="C21" s="598" t="s">
        <v>531</v>
      </c>
      <c r="D21" s="626" t="s">
        <v>16</v>
      </c>
      <c r="E21" s="597"/>
      <c r="F21" s="596"/>
      <c r="G21" s="596"/>
      <c r="H21" s="596"/>
      <c r="I21" s="596"/>
      <c r="J21" s="596"/>
      <c r="K21" s="596"/>
      <c r="L21" s="596"/>
      <c r="M21" s="596"/>
      <c r="N21" s="596"/>
      <c r="O21" s="596"/>
      <c r="P21" s="596"/>
      <c r="Q21" s="596"/>
      <c r="R21" s="596"/>
      <c r="S21" s="596"/>
      <c r="T21" s="595">
        <v>2.39</v>
      </c>
    </row>
    <row r="22" spans="1:20" ht="13.5" x14ac:dyDescent="0.25">
      <c r="A22" s="722" t="s">
        <v>530</v>
      </c>
      <c r="B22" s="723"/>
      <c r="C22" s="723"/>
      <c r="D22" s="723"/>
      <c r="E22" s="723"/>
      <c r="F22" s="723"/>
      <c r="G22" s="723"/>
      <c r="H22" s="723"/>
      <c r="I22" s="723"/>
      <c r="J22" s="723"/>
      <c r="K22" s="723"/>
      <c r="L22" s="723"/>
      <c r="M22" s="723"/>
      <c r="N22" s="723"/>
      <c r="O22" s="723"/>
      <c r="P22" s="723"/>
      <c r="Q22" s="723"/>
      <c r="R22" s="723"/>
      <c r="S22" s="723"/>
      <c r="T22" s="724"/>
    </row>
    <row r="23" spans="1:20" s="580" customFormat="1" ht="15.75" x14ac:dyDescent="0.25">
      <c r="A23" s="625" t="s">
        <v>21</v>
      </c>
      <c r="B23" s="624"/>
      <c r="C23" s="620" t="s">
        <v>529</v>
      </c>
      <c r="D23" s="619" t="s">
        <v>36</v>
      </c>
      <c r="E23" s="623"/>
      <c r="F23" s="601"/>
      <c r="G23" s="601"/>
      <c r="H23" s="622"/>
      <c r="I23" s="600"/>
      <c r="J23" s="600"/>
      <c r="K23" s="600"/>
      <c r="L23" s="600"/>
      <c r="M23" s="600"/>
      <c r="N23" s="600"/>
      <c r="O23" s="600"/>
      <c r="P23" s="600"/>
      <c r="Q23" s="600"/>
      <c r="R23" s="600"/>
      <c r="S23" s="591"/>
      <c r="T23" s="621"/>
    </row>
    <row r="24" spans="1:20" x14ac:dyDescent="0.25">
      <c r="A24" s="599" t="s">
        <v>528</v>
      </c>
      <c r="B24" s="591"/>
      <c r="C24" s="593" t="s">
        <v>502</v>
      </c>
      <c r="D24" s="619" t="s">
        <v>36</v>
      </c>
      <c r="E24" s="592"/>
      <c r="F24" s="591"/>
      <c r="G24" s="591"/>
      <c r="H24" s="591"/>
      <c r="I24" s="591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0">
        <v>15</v>
      </c>
    </row>
    <row r="25" spans="1:20" x14ac:dyDescent="0.25">
      <c r="A25" s="599" t="s">
        <v>527</v>
      </c>
      <c r="B25" s="591"/>
      <c r="C25" s="593" t="s">
        <v>501</v>
      </c>
      <c r="D25" s="619" t="s">
        <v>36</v>
      </c>
      <c r="E25" s="592"/>
      <c r="F25" s="591"/>
      <c r="G25" s="591"/>
      <c r="H25" s="591"/>
      <c r="I25" s="591"/>
      <c r="J25" s="591"/>
      <c r="K25" s="591"/>
      <c r="L25" s="591"/>
      <c r="M25" s="591"/>
      <c r="N25" s="591"/>
      <c r="O25" s="591"/>
      <c r="P25" s="591"/>
      <c r="Q25" s="591"/>
      <c r="R25" s="591"/>
      <c r="S25" s="591"/>
      <c r="T25" s="590">
        <v>16</v>
      </c>
    </row>
    <row r="26" spans="1:20" x14ac:dyDescent="0.25">
      <c r="A26" s="599" t="s">
        <v>526</v>
      </c>
      <c r="B26" s="591"/>
      <c r="C26" s="593" t="s">
        <v>286</v>
      </c>
      <c r="D26" s="619" t="s">
        <v>36</v>
      </c>
      <c r="E26" s="592"/>
      <c r="F26" s="591"/>
      <c r="G26" s="591"/>
      <c r="H26" s="591"/>
      <c r="I26" s="591"/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0">
        <v>10</v>
      </c>
    </row>
    <row r="27" spans="1:20" x14ac:dyDescent="0.25">
      <c r="A27" s="599" t="s">
        <v>525</v>
      </c>
      <c r="B27" s="591"/>
      <c r="C27" s="593" t="s">
        <v>522</v>
      </c>
      <c r="D27" s="619" t="s">
        <v>36</v>
      </c>
      <c r="E27" s="592"/>
      <c r="F27" s="591"/>
      <c r="G27" s="591"/>
      <c r="H27" s="591"/>
      <c r="I27" s="591"/>
      <c r="J27" s="591"/>
      <c r="K27" s="591"/>
      <c r="L27" s="591"/>
      <c r="M27" s="591"/>
      <c r="N27" s="591"/>
      <c r="O27" s="591"/>
      <c r="P27" s="591"/>
      <c r="Q27" s="591"/>
      <c r="R27" s="591"/>
      <c r="S27" s="591"/>
      <c r="T27" s="590">
        <v>14</v>
      </c>
    </row>
    <row r="28" spans="1:20" x14ac:dyDescent="0.25">
      <c r="A28" s="599" t="s">
        <v>524</v>
      </c>
      <c r="B28" s="591"/>
      <c r="C28" s="593" t="s">
        <v>500</v>
      </c>
      <c r="D28" s="619" t="s">
        <v>36</v>
      </c>
      <c r="E28" s="592"/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0">
        <v>14</v>
      </c>
    </row>
    <row r="29" spans="1:20" x14ac:dyDescent="0.25">
      <c r="A29" s="599" t="s">
        <v>523</v>
      </c>
      <c r="B29" s="591"/>
      <c r="C29" s="593" t="s">
        <v>499</v>
      </c>
      <c r="D29" s="619" t="s">
        <v>36</v>
      </c>
      <c r="E29" s="592"/>
      <c r="F29" s="591"/>
      <c r="G29" s="591"/>
      <c r="H29" s="591"/>
      <c r="I29" s="591"/>
      <c r="J29" s="591"/>
      <c r="K29" s="591"/>
      <c r="L29" s="591"/>
      <c r="M29" s="591"/>
      <c r="N29" s="591"/>
      <c r="O29" s="591"/>
      <c r="P29" s="591"/>
      <c r="Q29" s="591"/>
      <c r="R29" s="591"/>
      <c r="S29" s="591"/>
      <c r="T29" s="590">
        <v>34</v>
      </c>
    </row>
    <row r="30" spans="1:20" x14ac:dyDescent="0.25">
      <c r="A30" s="599" t="s">
        <v>521</v>
      </c>
      <c r="B30" s="591"/>
      <c r="C30" s="593" t="s">
        <v>518</v>
      </c>
      <c r="D30" s="619" t="s">
        <v>36</v>
      </c>
      <c r="E30" s="592"/>
      <c r="F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0">
        <v>1</v>
      </c>
    </row>
    <row r="31" spans="1:20" x14ac:dyDescent="0.25">
      <c r="A31" s="599" t="s">
        <v>520</v>
      </c>
      <c r="B31" s="591"/>
      <c r="C31" s="593" t="s">
        <v>507</v>
      </c>
      <c r="D31" s="619" t="s">
        <v>36</v>
      </c>
      <c r="E31" s="592"/>
      <c r="F31" s="591"/>
      <c r="G31" s="591"/>
      <c r="H31" s="591"/>
      <c r="I31" s="591"/>
      <c r="J31" s="591"/>
      <c r="K31" s="591"/>
      <c r="L31" s="591"/>
      <c r="M31" s="591"/>
      <c r="N31" s="591"/>
      <c r="O31" s="591"/>
      <c r="P31" s="591"/>
      <c r="Q31" s="591"/>
      <c r="R31" s="591"/>
      <c r="S31" s="591"/>
      <c r="T31" s="590">
        <v>5</v>
      </c>
    </row>
    <row r="32" spans="1:20" x14ac:dyDescent="0.25">
      <c r="A32" s="599" t="s">
        <v>519</v>
      </c>
      <c r="B32" s="591"/>
      <c r="C32" s="593" t="s">
        <v>343</v>
      </c>
      <c r="D32" s="619" t="s">
        <v>36</v>
      </c>
      <c r="E32" s="592"/>
      <c r="F32" s="591"/>
      <c r="G32" s="591"/>
      <c r="H32" s="591"/>
      <c r="I32" s="591"/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0">
        <v>6</v>
      </c>
    </row>
    <row r="33" spans="1:20" x14ac:dyDescent="0.25">
      <c r="A33" s="599"/>
      <c r="B33" s="591"/>
      <c r="C33" s="593" t="s">
        <v>344</v>
      </c>
      <c r="D33" s="619" t="s">
        <v>36</v>
      </c>
      <c r="E33" s="592"/>
      <c r="F33" s="591"/>
      <c r="G33" s="591"/>
      <c r="H33" s="591"/>
      <c r="I33" s="591"/>
      <c r="J33" s="591"/>
      <c r="K33" s="591"/>
      <c r="L33" s="591"/>
      <c r="M33" s="591"/>
      <c r="N33" s="591"/>
      <c r="O33" s="591"/>
      <c r="P33" s="591"/>
      <c r="Q33" s="591"/>
      <c r="R33" s="591"/>
      <c r="S33" s="591"/>
      <c r="T33" s="590">
        <v>2</v>
      </c>
    </row>
    <row r="34" spans="1:20" ht="13.5" x14ac:dyDescent="0.25">
      <c r="A34" s="594">
        <v>2</v>
      </c>
      <c r="B34" s="591"/>
      <c r="C34" s="620" t="s">
        <v>517</v>
      </c>
      <c r="D34" s="619" t="s">
        <v>36</v>
      </c>
      <c r="E34" s="592"/>
      <c r="F34" s="591"/>
      <c r="G34" s="591"/>
      <c r="H34" s="591"/>
      <c r="I34" s="591"/>
      <c r="J34" s="591"/>
      <c r="K34" s="591"/>
      <c r="L34" s="591"/>
      <c r="M34" s="591"/>
      <c r="N34" s="591"/>
      <c r="O34" s="591"/>
      <c r="P34" s="591"/>
      <c r="Q34" s="591"/>
      <c r="R34" s="591"/>
      <c r="S34" s="591"/>
      <c r="T34" s="590"/>
    </row>
    <row r="35" spans="1:20" x14ac:dyDescent="0.25">
      <c r="A35" s="599" t="s">
        <v>516</v>
      </c>
      <c r="B35" s="591"/>
      <c r="C35" s="593" t="s">
        <v>565</v>
      </c>
      <c r="D35" s="619" t="s">
        <v>515</v>
      </c>
      <c r="E35" s="592"/>
      <c r="F35" s="591"/>
      <c r="G35" s="591"/>
      <c r="H35" s="591"/>
      <c r="I35" s="591"/>
      <c r="J35" s="591"/>
      <c r="K35" s="591"/>
      <c r="L35" s="591"/>
      <c r="M35" s="591"/>
      <c r="N35" s="591"/>
      <c r="O35" s="591"/>
      <c r="P35" s="591"/>
      <c r="Q35" s="591"/>
      <c r="R35" s="591"/>
      <c r="S35" s="591"/>
      <c r="T35" s="590">
        <v>2</v>
      </c>
    </row>
    <row r="36" spans="1:20" x14ac:dyDescent="0.25">
      <c r="A36" s="599" t="s">
        <v>514</v>
      </c>
      <c r="B36" s="591"/>
      <c r="C36" s="593" t="s">
        <v>513</v>
      </c>
      <c r="D36" s="619" t="s">
        <v>36</v>
      </c>
      <c r="E36" s="592"/>
      <c r="F36" s="591"/>
      <c r="G36" s="591"/>
      <c r="H36" s="591"/>
      <c r="I36" s="591"/>
      <c r="J36" s="591"/>
      <c r="K36" s="591"/>
      <c r="L36" s="591"/>
      <c r="M36" s="591"/>
      <c r="N36" s="591"/>
      <c r="O36" s="591"/>
      <c r="P36" s="591"/>
      <c r="Q36" s="591"/>
      <c r="R36" s="591"/>
      <c r="S36" s="591"/>
      <c r="T36" s="590">
        <v>4</v>
      </c>
    </row>
    <row r="37" spans="1:20" x14ac:dyDescent="0.25">
      <c r="A37" s="599" t="s">
        <v>512</v>
      </c>
      <c r="B37" s="591"/>
      <c r="C37" s="593" t="s">
        <v>511</v>
      </c>
      <c r="D37" s="619" t="s">
        <v>36</v>
      </c>
      <c r="E37" s="592"/>
      <c r="F37" s="591"/>
      <c r="G37" s="591"/>
      <c r="H37" s="591"/>
      <c r="I37" s="591"/>
      <c r="J37" s="591"/>
      <c r="K37" s="591"/>
      <c r="L37" s="591"/>
      <c r="M37" s="591"/>
      <c r="N37" s="591"/>
      <c r="O37" s="591"/>
      <c r="P37" s="591"/>
      <c r="Q37" s="591"/>
      <c r="R37" s="591"/>
      <c r="S37" s="591"/>
      <c r="T37" s="590">
        <v>2</v>
      </c>
    </row>
    <row r="38" spans="1:20" x14ac:dyDescent="0.25">
      <c r="A38" s="599" t="s">
        <v>510</v>
      </c>
      <c r="B38" s="591"/>
      <c r="C38" s="593" t="s">
        <v>564</v>
      </c>
      <c r="D38" s="619" t="s">
        <v>36</v>
      </c>
      <c r="E38" s="592"/>
      <c r="F38" s="591"/>
      <c r="G38" s="591"/>
      <c r="H38" s="591"/>
      <c r="I38" s="591"/>
      <c r="J38" s="591"/>
      <c r="K38" s="591"/>
      <c r="L38" s="591"/>
      <c r="M38" s="591"/>
      <c r="N38" s="591"/>
      <c r="O38" s="591"/>
      <c r="P38" s="591"/>
      <c r="Q38" s="591"/>
      <c r="R38" s="591"/>
      <c r="S38" s="591"/>
      <c r="T38" s="590">
        <v>2</v>
      </c>
    </row>
    <row r="39" spans="1:20" x14ac:dyDescent="0.25">
      <c r="A39" s="599" t="s">
        <v>509</v>
      </c>
      <c r="B39" s="591"/>
      <c r="C39" s="593" t="s">
        <v>563</v>
      </c>
      <c r="D39" s="619" t="s">
        <v>36</v>
      </c>
      <c r="E39" s="592"/>
      <c r="F39" s="591"/>
      <c r="G39" s="591"/>
      <c r="H39" s="591"/>
      <c r="I39" s="591"/>
      <c r="J39" s="591"/>
      <c r="K39" s="591"/>
      <c r="L39" s="591"/>
      <c r="M39" s="591"/>
      <c r="N39" s="591"/>
      <c r="O39" s="591"/>
      <c r="P39" s="591"/>
      <c r="Q39" s="591"/>
      <c r="R39" s="591"/>
      <c r="S39" s="591"/>
      <c r="T39" s="590">
        <v>2</v>
      </c>
    </row>
    <row r="40" spans="1:20" x14ac:dyDescent="0.25">
      <c r="A40" s="599" t="s">
        <v>508</v>
      </c>
      <c r="B40" s="591"/>
      <c r="C40" s="593" t="s">
        <v>499</v>
      </c>
      <c r="D40" s="619" t="s">
        <v>36</v>
      </c>
      <c r="E40" s="592"/>
      <c r="F40" s="591"/>
      <c r="G40" s="591"/>
      <c r="H40" s="591"/>
      <c r="I40" s="591"/>
      <c r="J40" s="591"/>
      <c r="K40" s="591"/>
      <c r="L40" s="591"/>
      <c r="M40" s="591"/>
      <c r="N40" s="591"/>
      <c r="O40" s="591"/>
      <c r="P40" s="591"/>
      <c r="Q40" s="591"/>
      <c r="R40" s="591"/>
      <c r="S40" s="591"/>
      <c r="T40" s="590">
        <v>6</v>
      </c>
    </row>
    <row r="41" spans="1:20" x14ac:dyDescent="0.25">
      <c r="A41" s="599" t="s">
        <v>506</v>
      </c>
      <c r="B41" s="591"/>
      <c r="C41" s="593" t="s">
        <v>137</v>
      </c>
      <c r="D41" s="619" t="s">
        <v>36</v>
      </c>
      <c r="E41" s="592"/>
      <c r="F41" s="591"/>
      <c r="G41" s="591"/>
      <c r="H41" s="591"/>
      <c r="I41" s="591"/>
      <c r="J41" s="591"/>
      <c r="K41" s="591"/>
      <c r="L41" s="591"/>
      <c r="M41" s="591"/>
      <c r="N41" s="591"/>
      <c r="O41" s="591"/>
      <c r="P41" s="591"/>
      <c r="Q41" s="591"/>
      <c r="R41" s="591"/>
      <c r="S41" s="591"/>
      <c r="T41" s="590">
        <v>2</v>
      </c>
    </row>
    <row r="42" spans="1:20" x14ac:dyDescent="0.25">
      <c r="A42" s="599" t="s">
        <v>24</v>
      </c>
      <c r="B42" s="591"/>
      <c r="C42" s="593" t="s">
        <v>498</v>
      </c>
      <c r="D42" s="619" t="s">
        <v>36</v>
      </c>
      <c r="E42" s="592"/>
      <c r="F42" s="591"/>
      <c r="G42" s="591"/>
      <c r="H42" s="591"/>
      <c r="I42" s="591"/>
      <c r="J42" s="591"/>
      <c r="K42" s="591"/>
      <c r="L42" s="591"/>
      <c r="M42" s="591"/>
      <c r="N42" s="591"/>
      <c r="O42" s="591"/>
      <c r="P42" s="591"/>
      <c r="Q42" s="591"/>
      <c r="R42" s="591"/>
      <c r="S42" s="591"/>
      <c r="T42" s="590">
        <v>10</v>
      </c>
    </row>
    <row r="43" spans="1:20" x14ac:dyDescent="0.25">
      <c r="A43" s="599" t="s">
        <v>28</v>
      </c>
      <c r="B43" s="591"/>
      <c r="C43" s="593" t="s">
        <v>562</v>
      </c>
      <c r="D43" s="619" t="s">
        <v>36</v>
      </c>
      <c r="E43" s="592"/>
      <c r="F43" s="591"/>
      <c r="G43" s="591"/>
      <c r="H43" s="591"/>
      <c r="I43" s="591"/>
      <c r="J43" s="591"/>
      <c r="K43" s="591"/>
      <c r="L43" s="591"/>
      <c r="M43" s="591"/>
      <c r="N43" s="591"/>
      <c r="O43" s="591"/>
      <c r="P43" s="591"/>
      <c r="Q43" s="591"/>
      <c r="R43" s="591"/>
      <c r="S43" s="591"/>
      <c r="T43" s="590">
        <v>6</v>
      </c>
    </row>
    <row r="44" spans="1:20" ht="13.5" thickBot="1" x14ac:dyDescent="0.3">
      <c r="A44" s="594">
        <v>5</v>
      </c>
      <c r="B44" s="591"/>
      <c r="C44" s="593" t="s">
        <v>497</v>
      </c>
      <c r="D44" s="619" t="s">
        <v>41</v>
      </c>
      <c r="E44" s="592"/>
      <c r="F44" s="591"/>
      <c r="G44" s="591"/>
      <c r="H44" s="591"/>
      <c r="I44" s="591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0">
        <v>161.84</v>
      </c>
    </row>
    <row r="45" spans="1:20" ht="13.5" x14ac:dyDescent="0.25">
      <c r="A45" s="722" t="s">
        <v>496</v>
      </c>
      <c r="B45" s="723"/>
      <c r="C45" s="723"/>
      <c r="D45" s="723"/>
      <c r="E45" s="723"/>
      <c r="F45" s="723"/>
      <c r="G45" s="723"/>
      <c r="H45" s="723"/>
      <c r="I45" s="723"/>
      <c r="J45" s="723"/>
      <c r="K45" s="723"/>
      <c r="L45" s="723"/>
      <c r="M45" s="723"/>
      <c r="N45" s="723"/>
      <c r="O45" s="723"/>
      <c r="P45" s="723"/>
      <c r="Q45" s="723"/>
      <c r="R45" s="723"/>
      <c r="S45" s="723"/>
      <c r="T45" s="724"/>
    </row>
    <row r="46" spans="1:20" ht="38.25" x14ac:dyDescent="0.25">
      <c r="A46" s="594">
        <v>1</v>
      </c>
      <c r="B46" s="591"/>
      <c r="C46" s="593" t="s">
        <v>362</v>
      </c>
      <c r="D46" s="619" t="s">
        <v>25</v>
      </c>
      <c r="E46" s="592"/>
      <c r="F46" s="591"/>
      <c r="G46" s="591"/>
      <c r="H46" s="591"/>
      <c r="I46" s="591"/>
      <c r="J46" s="591"/>
      <c r="K46" s="591"/>
      <c r="L46" s="591"/>
      <c r="M46" s="591"/>
      <c r="N46" s="591"/>
      <c r="O46" s="591"/>
      <c r="P46" s="591"/>
      <c r="Q46" s="591"/>
      <c r="R46" s="591"/>
      <c r="S46" s="591"/>
      <c r="T46" s="590">
        <v>18.55</v>
      </c>
    </row>
    <row r="47" spans="1:20" ht="38.25" x14ac:dyDescent="0.25">
      <c r="A47" s="594">
        <v>2</v>
      </c>
      <c r="B47" s="591"/>
      <c r="C47" s="593" t="s">
        <v>567</v>
      </c>
      <c r="D47" s="619" t="s">
        <v>25</v>
      </c>
      <c r="E47" s="592"/>
      <c r="F47" s="591"/>
      <c r="G47" s="591"/>
      <c r="H47" s="591"/>
      <c r="I47" s="591"/>
      <c r="J47" s="591"/>
      <c r="K47" s="591"/>
      <c r="L47" s="591"/>
      <c r="M47" s="591"/>
      <c r="N47" s="591"/>
      <c r="O47" s="591"/>
      <c r="P47" s="591"/>
      <c r="Q47" s="591"/>
      <c r="R47" s="591"/>
      <c r="S47" s="591"/>
      <c r="T47" s="590">
        <v>181.73</v>
      </c>
    </row>
    <row r="48" spans="1:20" ht="38.25" x14ac:dyDescent="0.25">
      <c r="A48" s="594">
        <v>3</v>
      </c>
      <c r="B48" s="591"/>
      <c r="C48" s="593" t="s">
        <v>572</v>
      </c>
      <c r="D48" s="619" t="s">
        <v>25</v>
      </c>
      <c r="E48" s="592"/>
      <c r="F48" s="591"/>
      <c r="G48" s="591"/>
      <c r="H48" s="591"/>
      <c r="I48" s="591"/>
      <c r="J48" s="591"/>
      <c r="K48" s="591"/>
      <c r="L48" s="591"/>
      <c r="M48" s="591"/>
      <c r="N48" s="591"/>
      <c r="O48" s="591"/>
      <c r="P48" s="591"/>
      <c r="Q48" s="591"/>
      <c r="R48" s="591"/>
      <c r="S48" s="591"/>
      <c r="T48" s="590">
        <v>50.3</v>
      </c>
    </row>
    <row r="49" spans="1:20" ht="38.25" x14ac:dyDescent="0.25">
      <c r="A49" s="594">
        <v>4</v>
      </c>
      <c r="B49" s="591"/>
      <c r="C49" s="593" t="s">
        <v>193</v>
      </c>
      <c r="D49" s="619" t="s">
        <v>25</v>
      </c>
      <c r="E49" s="592"/>
      <c r="F49" s="591"/>
      <c r="G49" s="591"/>
      <c r="H49" s="591"/>
      <c r="I49" s="591"/>
      <c r="J49" s="591"/>
      <c r="K49" s="591"/>
      <c r="L49" s="591"/>
      <c r="M49" s="591"/>
      <c r="N49" s="591"/>
      <c r="O49" s="591"/>
      <c r="P49" s="591"/>
      <c r="Q49" s="591"/>
      <c r="R49" s="591"/>
      <c r="S49" s="591"/>
      <c r="T49" s="590">
        <v>18.760000000000002</v>
      </c>
    </row>
    <row r="50" spans="1:20" x14ac:dyDescent="0.25">
      <c r="A50" s="594">
        <v>5</v>
      </c>
      <c r="B50" s="591"/>
      <c r="C50" s="593" t="s">
        <v>574</v>
      </c>
      <c r="D50" s="619" t="s">
        <v>25</v>
      </c>
      <c r="E50" s="592"/>
      <c r="F50" s="591"/>
      <c r="G50" s="591"/>
      <c r="H50" s="591"/>
      <c r="I50" s="591"/>
      <c r="J50" s="591"/>
      <c r="K50" s="591"/>
      <c r="L50" s="591"/>
      <c r="M50" s="591"/>
      <c r="N50" s="591"/>
      <c r="O50" s="591"/>
      <c r="P50" s="591"/>
      <c r="Q50" s="591"/>
      <c r="R50" s="591"/>
      <c r="S50" s="591"/>
      <c r="T50" s="590">
        <v>30.5</v>
      </c>
    </row>
    <row r="51" spans="1:20" ht="15" customHeight="1" x14ac:dyDescent="0.25">
      <c r="A51" s="725" t="s">
        <v>495</v>
      </c>
      <c r="B51" s="726"/>
      <c r="C51" s="726"/>
      <c r="D51" s="726"/>
      <c r="E51" s="726"/>
      <c r="F51" s="726"/>
      <c r="G51" s="726"/>
      <c r="H51" s="726"/>
      <c r="I51" s="726"/>
      <c r="J51" s="726"/>
      <c r="K51" s="726"/>
      <c r="L51" s="726"/>
      <c r="M51" s="726"/>
      <c r="N51" s="726"/>
      <c r="O51" s="726"/>
      <c r="P51" s="726"/>
      <c r="Q51" s="726"/>
      <c r="R51" s="726"/>
      <c r="S51" s="726"/>
      <c r="T51" s="727"/>
    </row>
    <row r="52" spans="1:20" x14ac:dyDescent="0.25">
      <c r="A52" s="594">
        <v>1</v>
      </c>
      <c r="B52" s="591"/>
      <c r="C52" s="593" t="s">
        <v>195</v>
      </c>
      <c r="D52" s="619" t="s">
        <v>36</v>
      </c>
      <c r="E52" s="592"/>
      <c r="F52" s="591"/>
      <c r="G52" s="591"/>
      <c r="H52" s="591"/>
      <c r="I52" s="591"/>
      <c r="J52" s="591"/>
      <c r="K52" s="591"/>
      <c r="L52" s="591"/>
      <c r="M52" s="591"/>
      <c r="N52" s="591"/>
      <c r="O52" s="591"/>
      <c r="P52" s="591"/>
      <c r="Q52" s="591"/>
      <c r="R52" s="591"/>
      <c r="S52" s="591"/>
      <c r="T52" s="590">
        <v>55</v>
      </c>
    </row>
    <row r="53" spans="1:20" x14ac:dyDescent="0.25">
      <c r="A53" s="594">
        <v>2</v>
      </c>
      <c r="B53" s="591"/>
      <c r="C53" s="593" t="s">
        <v>196</v>
      </c>
      <c r="D53" s="619" t="s">
        <v>36</v>
      </c>
      <c r="E53" s="592"/>
      <c r="F53" s="591"/>
      <c r="G53" s="591"/>
      <c r="H53" s="591"/>
      <c r="I53" s="591"/>
      <c r="J53" s="591"/>
      <c r="K53" s="591"/>
      <c r="L53" s="591"/>
      <c r="M53" s="591"/>
      <c r="N53" s="591"/>
      <c r="O53" s="591"/>
      <c r="P53" s="591"/>
      <c r="Q53" s="591"/>
      <c r="R53" s="591"/>
      <c r="S53" s="591"/>
      <c r="T53" s="590">
        <v>27</v>
      </c>
    </row>
    <row r="54" spans="1:20" x14ac:dyDescent="0.25">
      <c r="A54" s="594">
        <v>3</v>
      </c>
      <c r="B54" s="591"/>
      <c r="C54" s="593" t="s">
        <v>569</v>
      </c>
      <c r="D54" s="619" t="s">
        <v>36</v>
      </c>
      <c r="E54" s="592"/>
      <c r="F54" s="591"/>
      <c r="G54" s="591"/>
      <c r="H54" s="591"/>
      <c r="I54" s="591"/>
      <c r="J54" s="591"/>
      <c r="K54" s="591"/>
      <c r="L54" s="591"/>
      <c r="M54" s="591"/>
      <c r="N54" s="591"/>
      <c r="O54" s="591"/>
      <c r="P54" s="591"/>
      <c r="Q54" s="591"/>
      <c r="R54" s="591"/>
      <c r="S54" s="591"/>
      <c r="T54" s="590">
        <v>16</v>
      </c>
    </row>
    <row r="55" spans="1:20" x14ac:dyDescent="0.25">
      <c r="A55" s="594">
        <v>4</v>
      </c>
      <c r="B55" s="591"/>
      <c r="C55" s="593" t="s">
        <v>568</v>
      </c>
      <c r="D55" s="619" t="s">
        <v>36</v>
      </c>
      <c r="E55" s="592"/>
      <c r="F55" s="591"/>
      <c r="G55" s="591"/>
      <c r="H55" s="591"/>
      <c r="I55" s="591"/>
      <c r="J55" s="591"/>
      <c r="K55" s="591"/>
      <c r="L55" s="591"/>
      <c r="M55" s="591"/>
      <c r="N55" s="591"/>
      <c r="O55" s="591"/>
      <c r="P55" s="591"/>
      <c r="Q55" s="591"/>
      <c r="R55" s="591"/>
      <c r="S55" s="591"/>
      <c r="T55" s="590">
        <v>7</v>
      </c>
    </row>
    <row r="56" spans="1:20" x14ac:dyDescent="0.25">
      <c r="C56" s="589"/>
      <c r="D56" s="588"/>
    </row>
    <row r="57" spans="1:20" x14ac:dyDescent="0.25">
      <c r="C57" s="589"/>
      <c r="D57" s="588"/>
    </row>
    <row r="58" spans="1:20" ht="16.5" thickBot="1" x14ac:dyDescent="0.3">
      <c r="A58" s="618" t="s">
        <v>328</v>
      </c>
      <c r="C58" s="617"/>
      <c r="D58" s="587"/>
      <c r="E58" s="586"/>
      <c r="T58" s="616" t="s">
        <v>494</v>
      </c>
    </row>
    <row r="59" spans="1:20" s="583" customFormat="1" ht="15.75" x14ac:dyDescent="0.25">
      <c r="C59" s="618"/>
      <c r="D59" s="618"/>
      <c r="E59" s="618"/>
      <c r="F59" s="585"/>
      <c r="G59" s="584"/>
      <c r="H59" s="584"/>
      <c r="I59" s="584"/>
      <c r="J59" s="584"/>
      <c r="K59" s="584"/>
      <c r="L59" s="584"/>
      <c r="M59" s="584"/>
      <c r="N59" s="584"/>
      <c r="O59" s="584"/>
      <c r="P59" s="584"/>
      <c r="Q59" s="584"/>
      <c r="R59" s="584"/>
      <c r="T59" s="616"/>
    </row>
    <row r="60" spans="1:20" s="582" customFormat="1" ht="16.5" thickBot="1" x14ac:dyDescent="0.3">
      <c r="A60" s="618" t="s">
        <v>329</v>
      </c>
      <c r="B60" s="583"/>
      <c r="C60" s="617"/>
      <c r="D60" s="617"/>
      <c r="E60" s="617"/>
      <c r="F60" s="584"/>
      <c r="G60" s="584"/>
      <c r="H60" s="584"/>
      <c r="I60" s="584"/>
      <c r="J60" s="584"/>
      <c r="K60" s="584"/>
      <c r="L60" s="584"/>
      <c r="M60" s="584"/>
      <c r="N60" s="584"/>
      <c r="O60" s="584"/>
      <c r="P60" s="584"/>
      <c r="Q60" s="584"/>
      <c r="R60" s="584"/>
      <c r="S60" s="583"/>
      <c r="T60" s="616" t="s">
        <v>493</v>
      </c>
    </row>
    <row r="61" spans="1:20" s="582" customFormat="1" ht="15.75" x14ac:dyDescent="0.25">
      <c r="A61" s="583"/>
      <c r="B61" s="583"/>
      <c r="C61" s="618"/>
      <c r="D61" s="618"/>
      <c r="E61" s="618"/>
      <c r="F61" s="585"/>
      <c r="G61" s="584"/>
      <c r="H61" s="584"/>
      <c r="I61" s="584"/>
      <c r="J61" s="584"/>
      <c r="K61" s="584"/>
      <c r="L61" s="584"/>
      <c r="M61" s="584"/>
      <c r="N61" s="584"/>
      <c r="O61" s="584"/>
      <c r="P61" s="584"/>
      <c r="Q61" s="584"/>
      <c r="R61" s="584"/>
      <c r="S61" s="583"/>
      <c r="T61" s="618"/>
    </row>
    <row r="62" spans="1:20" ht="16.5" thickBot="1" x14ac:dyDescent="0.3">
      <c r="A62" s="618" t="s">
        <v>492</v>
      </c>
      <c r="C62" s="617"/>
      <c r="D62" s="617"/>
      <c r="E62" s="617"/>
      <c r="T62" s="616" t="s">
        <v>491</v>
      </c>
    </row>
  </sheetData>
  <mergeCells count="27">
    <mergeCell ref="A11:T12"/>
    <mergeCell ref="A13:T13"/>
    <mergeCell ref="C14:T14"/>
    <mergeCell ref="A15:A18"/>
    <mergeCell ref="B15:B18"/>
    <mergeCell ref="C15:C18"/>
    <mergeCell ref="D15:D18"/>
    <mergeCell ref="E15:E18"/>
    <mergeCell ref="F15:F18"/>
    <mergeCell ref="G15:G18"/>
    <mergeCell ref="S15:S18"/>
    <mergeCell ref="H15:H18"/>
    <mergeCell ref="I15:I18"/>
    <mergeCell ref="J15:J18"/>
    <mergeCell ref="K15:K18"/>
    <mergeCell ref="L15:L18"/>
    <mergeCell ref="A51:T51"/>
    <mergeCell ref="N15:N18"/>
    <mergeCell ref="O15:O18"/>
    <mergeCell ref="P15:P18"/>
    <mergeCell ref="Q15:Q18"/>
    <mergeCell ref="R15:R18"/>
    <mergeCell ref="M15:M18"/>
    <mergeCell ref="T15:T17"/>
    <mergeCell ref="A19:T19"/>
    <mergeCell ref="A22:T22"/>
    <mergeCell ref="A45:T45"/>
  </mergeCells>
  <conditionalFormatting sqref="H23">
    <cfRule type="cellIs" dxfId="1" priority="1" operator="lessThan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71" fitToHeight="2" orientation="portrait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9F811-6BDD-4906-B88C-C6CD59BFBC14}">
  <sheetPr>
    <pageSetUpPr fitToPage="1"/>
  </sheetPr>
  <dimension ref="A1:AI137"/>
  <sheetViews>
    <sheetView view="pageBreakPreview" topLeftCell="A94" zoomScale="115" zoomScaleNormal="100" zoomScaleSheetLayoutView="115" workbookViewId="0">
      <selection activeCell="A132" sqref="A132"/>
    </sheetView>
  </sheetViews>
  <sheetFormatPr defaultColWidth="9.140625" defaultRowHeight="15" x14ac:dyDescent="0.25"/>
  <cols>
    <col min="1" max="1" width="6" style="1" customWidth="1"/>
    <col min="2" max="2" width="17.7109375" style="128" customWidth="1"/>
    <col min="3" max="3" width="84.28515625" style="1" customWidth="1"/>
    <col min="4" max="4" width="8.85546875" style="1" customWidth="1"/>
    <col min="5" max="5" width="13.85546875" style="1" bestFit="1" customWidth="1"/>
    <col min="6" max="6" width="14.85546875" style="3" hidden="1" customWidth="1"/>
    <col min="7" max="8" width="11.42578125" style="3" hidden="1" customWidth="1"/>
    <col min="9" max="9" width="0" style="3" hidden="1" customWidth="1"/>
    <col min="10" max="16384" width="9.140625" style="3"/>
  </cols>
  <sheetData>
    <row r="1" spans="1:8" ht="18.75" x14ac:dyDescent="0.25">
      <c r="A1" s="473"/>
      <c r="B1" s="473"/>
      <c r="C1" s="473"/>
      <c r="E1" s="474" t="s">
        <v>316</v>
      </c>
    </row>
    <row r="2" spans="1:8" ht="15.75" x14ac:dyDescent="0.25">
      <c r="A2" s="475" t="s">
        <v>317</v>
      </c>
      <c r="B2" s="475"/>
      <c r="C2" s="475"/>
      <c r="E2" s="477" t="s">
        <v>318</v>
      </c>
    </row>
    <row r="3" spans="1:8" ht="15.75" x14ac:dyDescent="0.25">
      <c r="A3" s="478" t="s">
        <v>319</v>
      </c>
      <c r="B3" s="478"/>
      <c r="C3" s="478"/>
      <c r="E3" s="476"/>
    </row>
    <row r="4" spans="1:8" ht="15.75" x14ac:dyDescent="0.25">
      <c r="A4" s="475" t="s">
        <v>320</v>
      </c>
      <c r="B4" s="475"/>
      <c r="C4" s="475"/>
      <c r="E4" s="477" t="s">
        <v>321</v>
      </c>
    </row>
    <row r="5" spans="1:8" ht="15.75" x14ac:dyDescent="0.25">
      <c r="A5" s="478" t="s">
        <v>322</v>
      </c>
      <c r="B5" s="478"/>
      <c r="C5" s="478"/>
      <c r="E5" s="479"/>
    </row>
    <row r="6" spans="1:8" ht="15.75" x14ac:dyDescent="0.25">
      <c r="A6" s="478" t="s">
        <v>323</v>
      </c>
      <c r="B6" s="478"/>
      <c r="C6" s="478"/>
      <c r="E6" s="477" t="s">
        <v>360</v>
      </c>
    </row>
    <row r="7" spans="1:8" ht="15.75" x14ac:dyDescent="0.25">
      <c r="A7" s="480" t="s">
        <v>324</v>
      </c>
      <c r="B7" s="480"/>
      <c r="C7" s="480"/>
      <c r="E7" s="477"/>
    </row>
    <row r="8" spans="1:8" ht="27.75" x14ac:dyDescent="0.4">
      <c r="A8" s="481"/>
      <c r="B8" s="481"/>
      <c r="C8" s="481"/>
      <c r="E8" s="477" t="s">
        <v>325</v>
      </c>
    </row>
    <row r="9" spans="1:8" ht="15" customHeight="1" x14ac:dyDescent="0.25">
      <c r="A9" s="705" t="s">
        <v>490</v>
      </c>
      <c r="B9" s="705"/>
      <c r="C9" s="705"/>
      <c r="D9" s="705"/>
      <c r="E9" s="705"/>
    </row>
    <row r="10" spans="1:8" ht="22.5" customHeight="1" thickBot="1" x14ac:dyDescent="0.3">
      <c r="A10" s="706" t="s">
        <v>580</v>
      </c>
      <c r="B10" s="706"/>
      <c r="C10" s="706"/>
      <c r="D10" s="706"/>
      <c r="E10" s="706"/>
    </row>
    <row r="11" spans="1:8" s="5" customFormat="1" ht="15" customHeight="1" x14ac:dyDescent="0.25">
      <c r="A11" s="699" t="s">
        <v>4</v>
      </c>
      <c r="B11" s="484" t="s">
        <v>5</v>
      </c>
      <c r="C11" s="699" t="s">
        <v>6</v>
      </c>
      <c r="D11" s="699" t="s">
        <v>7</v>
      </c>
      <c r="E11" s="699" t="s">
        <v>8</v>
      </c>
    </row>
    <row r="12" spans="1:8" ht="15.75" thickBot="1" x14ac:dyDescent="0.3">
      <c r="A12" s="700"/>
      <c r="B12" s="485" t="s">
        <v>11</v>
      </c>
      <c r="C12" s="700"/>
      <c r="D12" s="700"/>
      <c r="E12" s="701"/>
    </row>
    <row r="13" spans="1:8" ht="15.75" thickBot="1" x14ac:dyDescent="0.3">
      <c r="A13" s="541"/>
      <c r="B13" s="542"/>
      <c r="C13" s="543"/>
      <c r="D13" s="544"/>
      <c r="E13" s="514"/>
    </row>
    <row r="14" spans="1:8" ht="18.75" customHeight="1" x14ac:dyDescent="0.25">
      <c r="A14" s="501"/>
      <c r="B14" s="502" t="s">
        <v>14</v>
      </c>
      <c r="C14" s="503" t="s">
        <v>421</v>
      </c>
      <c r="D14" s="518"/>
      <c r="E14" s="504"/>
    </row>
    <row r="15" spans="1:8" ht="28.5" x14ac:dyDescent="0.25">
      <c r="A15" s="379" t="s">
        <v>21</v>
      </c>
      <c r="B15" s="337"/>
      <c r="C15" s="483" t="s">
        <v>71</v>
      </c>
      <c r="D15" s="538" t="s">
        <v>16</v>
      </c>
      <c r="E15" s="520">
        <v>327.83</v>
      </c>
      <c r="F15" s="3">
        <v>2255.96</v>
      </c>
      <c r="G15" s="3" t="e">
        <f>#REF!+#REF!+#REF!</f>
        <v>#REF!</v>
      </c>
      <c r="H15" s="3" t="e">
        <f>#REF!/G15</f>
        <v>#REF!</v>
      </c>
    </row>
    <row r="16" spans="1:8" ht="28.5" x14ac:dyDescent="0.25">
      <c r="A16" s="482">
        <v>2</v>
      </c>
      <c r="B16" s="331"/>
      <c r="C16" s="332" t="s">
        <v>72</v>
      </c>
      <c r="D16" s="538" t="s">
        <v>16</v>
      </c>
      <c r="E16" s="520">
        <v>10.14</v>
      </c>
      <c r="F16" s="3" t="e">
        <f>#REF!+#REF!+#REF!+#REF!+#REF!+#REF!</f>
        <v>#REF!</v>
      </c>
      <c r="G16" s="3" t="e">
        <f>E15+#REF!+E16+E79+E80+#REF!</f>
        <v>#REF!</v>
      </c>
    </row>
    <row r="17" spans="1:7" x14ac:dyDescent="0.25">
      <c r="A17" s="379" t="s">
        <v>24</v>
      </c>
      <c r="B17" s="331"/>
      <c r="C17" s="332" t="s">
        <v>107</v>
      </c>
      <c r="D17" s="538" t="s">
        <v>16</v>
      </c>
      <c r="E17" s="520">
        <v>42.69</v>
      </c>
      <c r="F17" s="66" t="e">
        <f>#REF!+#REF!</f>
        <v>#REF!</v>
      </c>
      <c r="G17" s="66">
        <f>E17+E22</f>
        <v>52.339999999999996</v>
      </c>
    </row>
    <row r="18" spans="1:7" x14ac:dyDescent="0.25">
      <c r="A18" s="381" t="s">
        <v>26</v>
      </c>
      <c r="B18" s="342"/>
      <c r="C18" s="336" t="s">
        <v>109</v>
      </c>
      <c r="D18" s="539" t="s">
        <v>16</v>
      </c>
      <c r="E18" s="519">
        <f>E17*1.1</f>
        <v>46.959000000000003</v>
      </c>
    </row>
    <row r="19" spans="1:7" ht="28.5" x14ac:dyDescent="0.25">
      <c r="A19" s="482">
        <v>4</v>
      </c>
      <c r="B19" s="331"/>
      <c r="C19" s="332" t="s">
        <v>154</v>
      </c>
      <c r="D19" s="538" t="s">
        <v>16</v>
      </c>
      <c r="E19" s="550">
        <v>284.18700000000001</v>
      </c>
    </row>
    <row r="20" spans="1:7" ht="15.75" thickBot="1" x14ac:dyDescent="0.3">
      <c r="A20" s="553">
        <v>5</v>
      </c>
      <c r="B20" s="554"/>
      <c r="C20" s="555" t="s">
        <v>18</v>
      </c>
      <c r="D20" s="529" t="s">
        <v>16</v>
      </c>
      <c r="E20" s="556">
        <f>E19+E17</f>
        <v>326.87700000000001</v>
      </c>
    </row>
    <row r="21" spans="1:7" ht="22.5" customHeight="1" x14ac:dyDescent="0.25">
      <c r="A21" s="505"/>
      <c r="B21" s="506" t="s">
        <v>20</v>
      </c>
      <c r="C21" s="503" t="s">
        <v>437</v>
      </c>
      <c r="D21" s="534"/>
      <c r="E21" s="507"/>
    </row>
    <row r="22" spans="1:7" x14ac:dyDescent="0.25">
      <c r="A22" s="379" t="s">
        <v>37</v>
      </c>
      <c r="B22" s="331"/>
      <c r="C22" s="332" t="s">
        <v>74</v>
      </c>
      <c r="D22" s="538" t="s">
        <v>16</v>
      </c>
      <c r="E22" s="165">
        <v>9.65</v>
      </c>
    </row>
    <row r="23" spans="1:7" x14ac:dyDescent="0.25">
      <c r="A23" s="381" t="s">
        <v>39</v>
      </c>
      <c r="B23" s="335"/>
      <c r="C23" s="336" t="s">
        <v>109</v>
      </c>
      <c r="D23" s="539" t="s">
        <v>16</v>
      </c>
      <c r="E23" s="519">
        <f>E22*1.1</f>
        <v>10.615000000000002</v>
      </c>
    </row>
    <row r="24" spans="1:7" x14ac:dyDescent="0.25">
      <c r="A24" s="379" t="s">
        <v>43</v>
      </c>
      <c r="B24" s="337"/>
      <c r="C24" s="332" t="s">
        <v>76</v>
      </c>
      <c r="D24" s="538" t="s">
        <v>25</v>
      </c>
      <c r="E24" s="520">
        <v>54.1</v>
      </c>
    </row>
    <row r="25" spans="1:7" x14ac:dyDescent="0.25">
      <c r="A25" s="381" t="s">
        <v>45</v>
      </c>
      <c r="B25" s="335"/>
      <c r="C25" s="336" t="s">
        <v>422</v>
      </c>
      <c r="D25" s="539" t="s">
        <v>25</v>
      </c>
      <c r="E25" s="519">
        <f>E24*1.025</f>
        <v>55.452499999999993</v>
      </c>
    </row>
    <row r="26" spans="1:7" x14ac:dyDescent="0.25">
      <c r="A26" s="381" t="s">
        <v>47</v>
      </c>
      <c r="B26" s="335"/>
      <c r="C26" s="336" t="s">
        <v>118</v>
      </c>
      <c r="D26" s="539" t="s">
        <v>36</v>
      </c>
      <c r="E26" s="382">
        <v>1</v>
      </c>
    </row>
    <row r="27" spans="1:7" x14ac:dyDescent="0.25">
      <c r="A27" s="381" t="s">
        <v>48</v>
      </c>
      <c r="B27" s="335"/>
      <c r="C27" s="460" t="s">
        <v>96</v>
      </c>
      <c r="D27" s="539" t="s">
        <v>36</v>
      </c>
      <c r="E27" s="382">
        <v>2</v>
      </c>
    </row>
    <row r="28" spans="1:7" x14ac:dyDescent="0.25">
      <c r="A28" s="379" t="s">
        <v>52</v>
      </c>
      <c r="B28" s="337"/>
      <c r="C28" s="332" t="s">
        <v>423</v>
      </c>
      <c r="D28" s="538" t="s">
        <v>25</v>
      </c>
      <c r="E28" s="520">
        <v>22.4</v>
      </c>
    </row>
    <row r="29" spans="1:7" x14ac:dyDescent="0.25">
      <c r="A29" s="381" t="s">
        <v>80</v>
      </c>
      <c r="B29" s="335"/>
      <c r="C29" s="336" t="s">
        <v>424</v>
      </c>
      <c r="D29" s="539" t="s">
        <v>25</v>
      </c>
      <c r="E29" s="519">
        <v>22.4</v>
      </c>
    </row>
    <row r="30" spans="1:7" x14ac:dyDescent="0.25">
      <c r="A30" s="379" t="s">
        <v>54</v>
      </c>
      <c r="B30" s="337"/>
      <c r="C30" s="338" t="s">
        <v>119</v>
      </c>
      <c r="D30" s="547" t="s">
        <v>36</v>
      </c>
      <c r="E30" s="380">
        <v>1</v>
      </c>
    </row>
    <row r="31" spans="1:7" ht="15.75" thickBot="1" x14ac:dyDescent="0.3">
      <c r="A31" s="429" t="s">
        <v>56</v>
      </c>
      <c r="B31" s="430"/>
      <c r="C31" s="558" t="s">
        <v>425</v>
      </c>
      <c r="D31" s="559" t="s">
        <v>36</v>
      </c>
      <c r="E31" s="560">
        <v>1</v>
      </c>
    </row>
    <row r="32" spans="1:7" ht="22.5" customHeight="1" x14ac:dyDescent="0.25">
      <c r="A32" s="531"/>
      <c r="B32" s="532" t="s">
        <v>256</v>
      </c>
      <c r="C32" s="510" t="s">
        <v>426</v>
      </c>
      <c r="D32" s="533"/>
      <c r="E32" s="557"/>
    </row>
    <row r="33" spans="1:5" x14ac:dyDescent="0.25">
      <c r="A33" s="379" t="s">
        <v>57</v>
      </c>
      <c r="B33" s="331"/>
      <c r="C33" s="328" t="s">
        <v>236</v>
      </c>
      <c r="D33" s="451" t="s">
        <v>27</v>
      </c>
      <c r="E33" s="165">
        <v>18</v>
      </c>
    </row>
    <row r="34" spans="1:5" x14ac:dyDescent="0.25">
      <c r="A34" s="381" t="s">
        <v>58</v>
      </c>
      <c r="B34" s="335"/>
      <c r="C34" s="330" t="s">
        <v>290</v>
      </c>
      <c r="D34" s="461" t="s">
        <v>27</v>
      </c>
      <c r="E34" s="166">
        <f>E33*1.1</f>
        <v>19.8</v>
      </c>
    </row>
    <row r="35" spans="1:5" x14ac:dyDescent="0.25">
      <c r="A35" s="379" t="s">
        <v>86</v>
      </c>
      <c r="B35" s="331"/>
      <c r="C35" s="332" t="s">
        <v>427</v>
      </c>
      <c r="D35" s="451" t="s">
        <v>16</v>
      </c>
      <c r="E35" s="165">
        <v>8</v>
      </c>
    </row>
    <row r="36" spans="1:5" x14ac:dyDescent="0.25">
      <c r="A36" s="381" t="s">
        <v>91</v>
      </c>
      <c r="B36" s="337"/>
      <c r="C36" s="330" t="s">
        <v>241</v>
      </c>
      <c r="D36" s="461" t="s">
        <v>16</v>
      </c>
      <c r="E36" s="166">
        <f>E35*1.25</f>
        <v>10</v>
      </c>
    </row>
    <row r="37" spans="1:5" x14ac:dyDescent="0.25">
      <c r="A37" s="379" t="s">
        <v>90</v>
      </c>
      <c r="B37" s="335"/>
      <c r="C37" s="328" t="s">
        <v>292</v>
      </c>
      <c r="D37" s="451" t="s">
        <v>16</v>
      </c>
      <c r="E37" s="165">
        <v>1.9</v>
      </c>
    </row>
    <row r="38" spans="1:5" x14ac:dyDescent="0.25">
      <c r="A38" s="381" t="s">
        <v>93</v>
      </c>
      <c r="B38" s="335"/>
      <c r="C38" s="330" t="s">
        <v>307</v>
      </c>
      <c r="D38" s="461" t="s">
        <v>16</v>
      </c>
      <c r="E38" s="166">
        <f>E37*1.03</f>
        <v>1.9569999999999999</v>
      </c>
    </row>
    <row r="39" spans="1:5" x14ac:dyDescent="0.25">
      <c r="A39" s="379" t="s">
        <v>167</v>
      </c>
      <c r="B39" s="335"/>
      <c r="C39" s="328" t="s">
        <v>305</v>
      </c>
      <c r="D39" s="451" t="s">
        <v>27</v>
      </c>
      <c r="E39" s="165">
        <v>9</v>
      </c>
    </row>
    <row r="40" spans="1:5" x14ac:dyDescent="0.25">
      <c r="A40" s="381" t="s">
        <v>97</v>
      </c>
      <c r="B40" s="335"/>
      <c r="C40" s="330" t="s">
        <v>258</v>
      </c>
      <c r="D40" s="461" t="s">
        <v>27</v>
      </c>
      <c r="E40" s="166">
        <f>E39*1.03</f>
        <v>9.27</v>
      </c>
    </row>
    <row r="41" spans="1:5" x14ac:dyDescent="0.25">
      <c r="A41" s="379" t="s">
        <v>99</v>
      </c>
      <c r="B41" s="335"/>
      <c r="C41" s="332" t="s">
        <v>74</v>
      </c>
      <c r="D41" s="538" t="s">
        <v>16</v>
      </c>
      <c r="E41" s="520">
        <v>3</v>
      </c>
    </row>
    <row r="42" spans="1:5" x14ac:dyDescent="0.25">
      <c r="A42" s="381" t="s">
        <v>104</v>
      </c>
      <c r="B42" s="335"/>
      <c r="C42" s="336" t="s">
        <v>109</v>
      </c>
      <c r="D42" s="539" t="s">
        <v>16</v>
      </c>
      <c r="E42" s="519">
        <f>E41*1.1</f>
        <v>3.3000000000000003</v>
      </c>
    </row>
    <row r="43" spans="1:5" x14ac:dyDescent="0.25">
      <c r="A43" s="379" t="s">
        <v>61</v>
      </c>
      <c r="B43" s="335"/>
      <c r="C43" s="328" t="s">
        <v>293</v>
      </c>
      <c r="D43" s="451" t="s">
        <v>16</v>
      </c>
      <c r="E43" s="165">
        <v>0.7</v>
      </c>
    </row>
    <row r="44" spans="1:5" x14ac:dyDescent="0.25">
      <c r="A44" s="381" t="s">
        <v>62</v>
      </c>
      <c r="B44" s="335"/>
      <c r="C44" s="330" t="s">
        <v>239</v>
      </c>
      <c r="D44" s="461" t="s">
        <v>16</v>
      </c>
      <c r="E44" s="166">
        <f>E43*1.015</f>
        <v>0.71049999999999991</v>
      </c>
    </row>
    <row r="45" spans="1:5" x14ac:dyDescent="0.25">
      <c r="A45" s="379" t="s">
        <v>64</v>
      </c>
      <c r="B45" s="335"/>
      <c r="C45" s="328" t="s">
        <v>428</v>
      </c>
      <c r="D45" s="451" t="s">
        <v>16</v>
      </c>
      <c r="E45" s="165">
        <v>3.15</v>
      </c>
    </row>
    <row r="46" spans="1:5" x14ac:dyDescent="0.25">
      <c r="A46" s="381" t="s">
        <v>357</v>
      </c>
      <c r="B46" s="335"/>
      <c r="C46" s="330" t="s">
        <v>434</v>
      </c>
      <c r="D46" s="461" t="s">
        <v>41</v>
      </c>
      <c r="E46" s="166">
        <v>328.92</v>
      </c>
    </row>
    <row r="47" spans="1:5" x14ac:dyDescent="0.25">
      <c r="A47" s="381" t="s">
        <v>359</v>
      </c>
      <c r="B47" s="331"/>
      <c r="C47" s="330" t="s">
        <v>435</v>
      </c>
      <c r="D47" s="461" t="s">
        <v>41</v>
      </c>
      <c r="E47" s="166">
        <v>18.48</v>
      </c>
    </row>
    <row r="48" spans="1:5" x14ac:dyDescent="0.25">
      <c r="A48" s="381" t="s">
        <v>444</v>
      </c>
      <c r="B48" s="331"/>
      <c r="C48" s="330" t="s">
        <v>306</v>
      </c>
      <c r="D48" s="461" t="s">
        <v>16</v>
      </c>
      <c r="E48" s="166">
        <f>1.015*E45</f>
        <v>3.1972499999999995</v>
      </c>
    </row>
    <row r="49" spans="1:5" x14ac:dyDescent="0.25">
      <c r="A49" s="381" t="s">
        <v>445</v>
      </c>
      <c r="B49" s="331"/>
      <c r="C49" s="330" t="s">
        <v>300</v>
      </c>
      <c r="D49" s="461" t="s">
        <v>25</v>
      </c>
      <c r="E49" s="166">
        <v>13</v>
      </c>
    </row>
    <row r="50" spans="1:5" x14ac:dyDescent="0.25">
      <c r="A50" s="379" t="s">
        <v>106</v>
      </c>
      <c r="B50" s="331"/>
      <c r="C50" s="328" t="s">
        <v>429</v>
      </c>
      <c r="D50" s="451" t="s">
        <v>16</v>
      </c>
      <c r="E50" s="165">
        <v>4.2</v>
      </c>
    </row>
    <row r="51" spans="1:5" x14ac:dyDescent="0.25">
      <c r="A51" s="381" t="s">
        <v>178</v>
      </c>
      <c r="B51" s="331"/>
      <c r="C51" s="330" t="s">
        <v>434</v>
      </c>
      <c r="D51" s="461" t="s">
        <v>41</v>
      </c>
      <c r="E51" s="166">
        <v>193.13</v>
      </c>
    </row>
    <row r="52" spans="1:5" x14ac:dyDescent="0.25">
      <c r="A52" s="381" t="s">
        <v>214</v>
      </c>
      <c r="B52" s="331"/>
      <c r="C52" s="330" t="s">
        <v>435</v>
      </c>
      <c r="D52" s="461" t="s">
        <v>41</v>
      </c>
      <c r="E52" s="166">
        <v>41.6</v>
      </c>
    </row>
    <row r="53" spans="1:5" x14ac:dyDescent="0.25">
      <c r="A53" s="381" t="s">
        <v>446</v>
      </c>
      <c r="B53" s="331"/>
      <c r="C53" s="330" t="s">
        <v>306</v>
      </c>
      <c r="D53" s="461" t="s">
        <v>16</v>
      </c>
      <c r="E53" s="166">
        <f>E50*1.015</f>
        <v>4.2629999999999999</v>
      </c>
    </row>
    <row r="54" spans="1:5" x14ac:dyDescent="0.25">
      <c r="A54" s="379" t="s">
        <v>447</v>
      </c>
      <c r="B54" s="331"/>
      <c r="C54" s="328" t="s">
        <v>431</v>
      </c>
      <c r="D54" s="451" t="s">
        <v>36</v>
      </c>
      <c r="E54" s="380">
        <v>62</v>
      </c>
    </row>
    <row r="55" spans="1:5" x14ac:dyDescent="0.25">
      <c r="A55" s="540" t="s">
        <v>448</v>
      </c>
      <c r="B55" s="331"/>
      <c r="C55" s="330" t="s">
        <v>434</v>
      </c>
      <c r="D55" s="461" t="s">
        <v>41</v>
      </c>
      <c r="E55" s="382">
        <v>239.32</v>
      </c>
    </row>
    <row r="56" spans="1:5" x14ac:dyDescent="0.25">
      <c r="A56" s="540" t="s">
        <v>449</v>
      </c>
      <c r="B56" s="331"/>
      <c r="C56" s="330" t="s">
        <v>435</v>
      </c>
      <c r="D56" s="461" t="s">
        <v>41</v>
      </c>
      <c r="E56" s="166">
        <v>86.8</v>
      </c>
    </row>
    <row r="57" spans="1:5" x14ac:dyDescent="0.25">
      <c r="A57" s="381" t="s">
        <v>450</v>
      </c>
      <c r="B57" s="331"/>
      <c r="C57" s="330" t="s">
        <v>432</v>
      </c>
      <c r="D57" s="461" t="s">
        <v>36</v>
      </c>
      <c r="E57" s="382">
        <v>1</v>
      </c>
    </row>
    <row r="58" spans="1:5" x14ac:dyDescent="0.25">
      <c r="A58" s="379" t="s">
        <v>108</v>
      </c>
      <c r="B58" s="331"/>
      <c r="C58" s="328" t="s">
        <v>430</v>
      </c>
      <c r="D58" s="451" t="s">
        <v>16</v>
      </c>
      <c r="E58" s="165">
        <v>1.4</v>
      </c>
    </row>
    <row r="59" spans="1:5" x14ac:dyDescent="0.25">
      <c r="A59" s="381" t="s">
        <v>451</v>
      </c>
      <c r="B59" s="331"/>
      <c r="C59" s="330" t="s">
        <v>436</v>
      </c>
      <c r="D59" s="461" t="s">
        <v>41</v>
      </c>
      <c r="E59" s="166">
        <v>474</v>
      </c>
    </row>
    <row r="60" spans="1:5" x14ac:dyDescent="0.25">
      <c r="A60" s="381" t="s">
        <v>452</v>
      </c>
      <c r="B60" s="331"/>
      <c r="C60" s="330" t="s">
        <v>435</v>
      </c>
      <c r="D60" s="461" t="s">
        <v>41</v>
      </c>
      <c r="E60" s="166">
        <v>75.44</v>
      </c>
    </row>
    <row r="61" spans="1:5" x14ac:dyDescent="0.25">
      <c r="A61" s="381" t="s">
        <v>453</v>
      </c>
      <c r="B61" s="331"/>
      <c r="C61" s="330" t="s">
        <v>306</v>
      </c>
      <c r="D61" s="461" t="s">
        <v>16</v>
      </c>
      <c r="E61" s="166">
        <f>E58*1.015</f>
        <v>1.4209999999999998</v>
      </c>
    </row>
    <row r="62" spans="1:5" x14ac:dyDescent="0.25">
      <c r="A62" s="379" t="s">
        <v>111</v>
      </c>
      <c r="B62" s="331"/>
      <c r="C62" s="328" t="s">
        <v>313</v>
      </c>
      <c r="D62" s="451"/>
      <c r="E62" s="165"/>
    </row>
    <row r="63" spans="1:5" x14ac:dyDescent="0.25">
      <c r="A63" s="381" t="s">
        <v>454</v>
      </c>
      <c r="B63" s="331"/>
      <c r="C63" s="330" t="s">
        <v>301</v>
      </c>
      <c r="D63" s="461" t="s">
        <v>27</v>
      </c>
      <c r="E63" s="166">
        <f>8+21+7</f>
        <v>36</v>
      </c>
    </row>
    <row r="64" spans="1:5" x14ac:dyDescent="0.25">
      <c r="A64" s="381" t="s">
        <v>455</v>
      </c>
      <c r="B64" s="331"/>
      <c r="C64" s="468" t="s">
        <v>299</v>
      </c>
      <c r="D64" s="461" t="s">
        <v>27</v>
      </c>
      <c r="E64" s="166">
        <v>70</v>
      </c>
    </row>
    <row r="65" spans="1:5" x14ac:dyDescent="0.25">
      <c r="A65" s="381" t="s">
        <v>456</v>
      </c>
      <c r="B65" s="342"/>
      <c r="C65" s="330" t="s">
        <v>302</v>
      </c>
      <c r="D65" s="461" t="s">
        <v>27</v>
      </c>
      <c r="E65" s="166">
        <f>8+21+7</f>
        <v>36</v>
      </c>
    </row>
    <row r="66" spans="1:5" x14ac:dyDescent="0.25">
      <c r="A66" s="381" t="s">
        <v>457</v>
      </c>
      <c r="B66" s="342"/>
      <c r="C66" s="330" t="s">
        <v>312</v>
      </c>
      <c r="D66" s="461" t="s">
        <v>25</v>
      </c>
      <c r="E66" s="166">
        <f>2.9*2+2.4*2</f>
        <v>10.6</v>
      </c>
    </row>
    <row r="67" spans="1:5" x14ac:dyDescent="0.25">
      <c r="A67" s="379" t="s">
        <v>113</v>
      </c>
      <c r="B67" s="342"/>
      <c r="C67" s="328" t="s">
        <v>314</v>
      </c>
      <c r="D67" s="451"/>
      <c r="E67" s="165"/>
    </row>
    <row r="68" spans="1:5" x14ac:dyDescent="0.25">
      <c r="A68" s="381" t="s">
        <v>458</v>
      </c>
      <c r="B68" s="342"/>
      <c r="C68" s="330" t="s">
        <v>284</v>
      </c>
      <c r="D68" s="461" t="s">
        <v>36</v>
      </c>
      <c r="E68" s="382">
        <v>4</v>
      </c>
    </row>
    <row r="69" spans="1:5" x14ac:dyDescent="0.25">
      <c r="A69" s="381" t="s">
        <v>459</v>
      </c>
      <c r="B69" s="342"/>
      <c r="C69" s="330" t="s">
        <v>309</v>
      </c>
      <c r="D69" s="461" t="s">
        <v>36</v>
      </c>
      <c r="E69" s="382">
        <v>2</v>
      </c>
    </row>
    <row r="70" spans="1:5" x14ac:dyDescent="0.25">
      <c r="A70" s="381" t="s">
        <v>460</v>
      </c>
      <c r="B70" s="342"/>
      <c r="C70" s="330" t="s">
        <v>310</v>
      </c>
      <c r="D70" s="461" t="s">
        <v>36</v>
      </c>
      <c r="E70" s="382">
        <v>1</v>
      </c>
    </row>
    <row r="71" spans="1:5" x14ac:dyDescent="0.25">
      <c r="A71" s="381" t="s">
        <v>461</v>
      </c>
      <c r="B71" s="342"/>
      <c r="C71" s="330" t="s">
        <v>311</v>
      </c>
      <c r="D71" s="461" t="s">
        <v>36</v>
      </c>
      <c r="E71" s="382">
        <v>1</v>
      </c>
    </row>
    <row r="72" spans="1:5" x14ac:dyDescent="0.25">
      <c r="A72" s="381" t="s">
        <v>462</v>
      </c>
      <c r="B72" s="342"/>
      <c r="C72" s="330" t="s">
        <v>433</v>
      </c>
      <c r="D72" s="461" t="s">
        <v>36</v>
      </c>
      <c r="E72" s="382">
        <v>2</v>
      </c>
    </row>
    <row r="73" spans="1:5" ht="42.75" x14ac:dyDescent="0.25">
      <c r="A73" s="379" t="s">
        <v>263</v>
      </c>
      <c r="B73" s="342"/>
      <c r="C73" s="326" t="s">
        <v>171</v>
      </c>
      <c r="D73" s="461" t="s">
        <v>36</v>
      </c>
      <c r="E73" s="380">
        <v>1</v>
      </c>
    </row>
    <row r="74" spans="1:5" x14ac:dyDescent="0.25">
      <c r="A74" s="381" t="s">
        <v>395</v>
      </c>
      <c r="B74" s="342"/>
      <c r="C74" s="471" t="s">
        <v>101</v>
      </c>
      <c r="D74" s="461" t="s">
        <v>102</v>
      </c>
      <c r="E74" s="382">
        <v>1</v>
      </c>
    </row>
    <row r="75" spans="1:5" ht="28.5" x14ac:dyDescent="0.25">
      <c r="A75" s="379" t="s">
        <v>264</v>
      </c>
      <c r="B75" s="342"/>
      <c r="C75" s="326" t="s">
        <v>103</v>
      </c>
      <c r="D75" s="451" t="s">
        <v>36</v>
      </c>
      <c r="E75" s="380">
        <v>2</v>
      </c>
    </row>
    <row r="76" spans="1:5" x14ac:dyDescent="0.25">
      <c r="A76" s="379" t="s">
        <v>265</v>
      </c>
      <c r="B76" s="342"/>
      <c r="C76" s="326" t="s">
        <v>105</v>
      </c>
      <c r="D76" s="451" t="s">
        <v>25</v>
      </c>
      <c r="E76" s="380">
        <v>55</v>
      </c>
    </row>
    <row r="77" spans="1:5" ht="29.25" thickBot="1" x14ac:dyDescent="0.3">
      <c r="A77" s="561" t="s">
        <v>267</v>
      </c>
      <c r="B77" s="562"/>
      <c r="C77" s="563" t="s">
        <v>103</v>
      </c>
      <c r="D77" s="323" t="s">
        <v>36</v>
      </c>
      <c r="E77" s="564">
        <v>1</v>
      </c>
    </row>
    <row r="78" spans="1:5" ht="22.5" customHeight="1" x14ac:dyDescent="0.25">
      <c r="A78" s="536"/>
      <c r="B78" s="502" t="s">
        <v>443</v>
      </c>
      <c r="C78" s="503" t="s">
        <v>438</v>
      </c>
      <c r="D78" s="503"/>
      <c r="E78" s="537"/>
    </row>
    <row r="79" spans="1:5" ht="29.25" customHeight="1" x14ac:dyDescent="0.25">
      <c r="A79" s="379" t="s">
        <v>268</v>
      </c>
      <c r="B79" s="337"/>
      <c r="C79" s="338" t="s">
        <v>71</v>
      </c>
      <c r="D79" s="545" t="s">
        <v>16</v>
      </c>
      <c r="E79" s="380">
        <v>95.84</v>
      </c>
    </row>
    <row r="80" spans="1:5" ht="29.25" customHeight="1" x14ac:dyDescent="0.25">
      <c r="A80" s="379" t="s">
        <v>269</v>
      </c>
      <c r="B80" s="337"/>
      <c r="C80" s="338" t="s">
        <v>73</v>
      </c>
      <c r="D80" s="545" t="s">
        <v>16</v>
      </c>
      <c r="E80" s="380">
        <v>2.96</v>
      </c>
    </row>
    <row r="81" spans="1:5" x14ac:dyDescent="0.25">
      <c r="A81" s="373" t="s">
        <v>271</v>
      </c>
      <c r="B81" s="325"/>
      <c r="C81" s="466" t="s">
        <v>347</v>
      </c>
      <c r="D81" s="450" t="s">
        <v>36</v>
      </c>
      <c r="E81" s="380">
        <v>1</v>
      </c>
    </row>
    <row r="82" spans="1:5" x14ac:dyDescent="0.25">
      <c r="A82" s="373" t="s">
        <v>272</v>
      </c>
      <c r="B82" s="325"/>
      <c r="C82" s="466" t="s">
        <v>348</v>
      </c>
      <c r="D82" s="450" t="s">
        <v>25</v>
      </c>
      <c r="E82" s="380">
        <v>26.9</v>
      </c>
    </row>
    <row r="83" spans="1:5" x14ac:dyDescent="0.25">
      <c r="A83" s="373" t="s">
        <v>275</v>
      </c>
      <c r="B83" s="325"/>
      <c r="C83" s="466" t="s">
        <v>349</v>
      </c>
      <c r="D83" s="450" t="s">
        <v>25</v>
      </c>
      <c r="E83" s="380">
        <v>26.9</v>
      </c>
    </row>
    <row r="84" spans="1:5" x14ac:dyDescent="0.25">
      <c r="A84" s="373" t="s">
        <v>276</v>
      </c>
      <c r="B84" s="325"/>
      <c r="C84" s="466" t="s">
        <v>354</v>
      </c>
      <c r="D84" s="450" t="s">
        <v>25</v>
      </c>
      <c r="E84" s="380">
        <v>26.9</v>
      </c>
    </row>
    <row r="85" spans="1:5" x14ac:dyDescent="0.25">
      <c r="A85" s="373" t="s">
        <v>373</v>
      </c>
      <c r="B85" s="325"/>
      <c r="C85" s="466" t="s">
        <v>353</v>
      </c>
      <c r="D85" s="450" t="s">
        <v>25</v>
      </c>
      <c r="E85" s="380">
        <v>26.9</v>
      </c>
    </row>
    <row r="86" spans="1:5" x14ac:dyDescent="0.25">
      <c r="A86" s="373" t="s">
        <v>277</v>
      </c>
      <c r="B86" s="325"/>
      <c r="C86" s="466" t="s">
        <v>352</v>
      </c>
      <c r="D86" s="450" t="s">
        <v>25</v>
      </c>
      <c r="E86" s="380">
        <v>26.9</v>
      </c>
    </row>
    <row r="87" spans="1:5" x14ac:dyDescent="0.25">
      <c r="A87" s="373" t="s">
        <v>374</v>
      </c>
      <c r="B87" s="325"/>
      <c r="C87" s="466" t="s">
        <v>351</v>
      </c>
      <c r="D87" s="450" t="s">
        <v>25</v>
      </c>
      <c r="E87" s="380">
        <v>26.9</v>
      </c>
    </row>
    <row r="88" spans="1:5" x14ac:dyDescent="0.25">
      <c r="A88" s="373" t="s">
        <v>375</v>
      </c>
      <c r="B88" s="325"/>
      <c r="C88" s="466" t="s">
        <v>350</v>
      </c>
      <c r="D88" s="450" t="s">
        <v>25</v>
      </c>
      <c r="E88" s="380">
        <v>26.9</v>
      </c>
    </row>
    <row r="89" spans="1:5" x14ac:dyDescent="0.25">
      <c r="A89" s="373" t="s">
        <v>376</v>
      </c>
      <c r="B89" s="325"/>
      <c r="C89" s="466" t="s">
        <v>439</v>
      </c>
      <c r="D89" s="450" t="s">
        <v>25</v>
      </c>
      <c r="E89" s="380">
        <v>26.9</v>
      </c>
    </row>
    <row r="90" spans="1:5" x14ac:dyDescent="0.25">
      <c r="A90" s="381" t="s">
        <v>566</v>
      </c>
      <c r="B90" s="335"/>
      <c r="C90" s="339" t="s">
        <v>586</v>
      </c>
      <c r="D90" s="546" t="s">
        <v>25</v>
      </c>
      <c r="E90" s="382">
        <v>26.9</v>
      </c>
    </row>
    <row r="91" spans="1:5" x14ac:dyDescent="0.25">
      <c r="A91" s="373" t="s">
        <v>377</v>
      </c>
      <c r="B91" s="325"/>
      <c r="C91" s="466" t="s">
        <v>356</v>
      </c>
      <c r="D91" s="450" t="s">
        <v>36</v>
      </c>
      <c r="E91" s="380">
        <v>1</v>
      </c>
    </row>
    <row r="92" spans="1:5" x14ac:dyDescent="0.25">
      <c r="A92" s="379" t="s">
        <v>378</v>
      </c>
      <c r="B92" s="337"/>
      <c r="C92" s="338" t="s">
        <v>156</v>
      </c>
      <c r="D92" s="545" t="s">
        <v>16</v>
      </c>
      <c r="E92" s="380">
        <v>11.32</v>
      </c>
    </row>
    <row r="93" spans="1:5" x14ac:dyDescent="0.25">
      <c r="A93" s="381" t="s">
        <v>379</v>
      </c>
      <c r="B93" s="335"/>
      <c r="C93" s="339" t="s">
        <v>109</v>
      </c>
      <c r="D93" s="546" t="s">
        <v>16</v>
      </c>
      <c r="E93" s="382">
        <f>E92*1.1</f>
        <v>12.452000000000002</v>
      </c>
    </row>
    <row r="94" spans="1:5" ht="29.25" customHeight="1" x14ac:dyDescent="0.25">
      <c r="A94" s="379" t="s">
        <v>380</v>
      </c>
      <c r="B94" s="337"/>
      <c r="C94" s="338" t="s">
        <v>154</v>
      </c>
      <c r="D94" s="545" t="s">
        <v>16</v>
      </c>
      <c r="E94" s="380">
        <v>78.97</v>
      </c>
    </row>
    <row r="95" spans="1:5" x14ac:dyDescent="0.25">
      <c r="A95" s="381" t="s">
        <v>579</v>
      </c>
      <c r="B95" s="335"/>
      <c r="C95" s="339" t="s">
        <v>109</v>
      </c>
      <c r="D95" s="546" t="s">
        <v>16</v>
      </c>
      <c r="E95" s="382">
        <f>E94*1.1</f>
        <v>86.867000000000004</v>
      </c>
    </row>
    <row r="96" spans="1:5" x14ac:dyDescent="0.25">
      <c r="A96" s="379" t="s">
        <v>381</v>
      </c>
      <c r="B96" s="337"/>
      <c r="C96" s="338" t="s">
        <v>18</v>
      </c>
      <c r="D96" s="545" t="s">
        <v>16</v>
      </c>
      <c r="E96" s="380">
        <f>E94+E92</f>
        <v>90.289999999999992</v>
      </c>
    </row>
    <row r="97" spans="1:5" x14ac:dyDescent="0.25">
      <c r="A97" s="379" t="s">
        <v>382</v>
      </c>
      <c r="B97" s="337"/>
      <c r="C97" s="338" t="s">
        <v>74</v>
      </c>
      <c r="D97" s="545" t="s">
        <v>16</v>
      </c>
      <c r="E97" s="380">
        <v>0.96</v>
      </c>
    </row>
    <row r="98" spans="1:5" x14ac:dyDescent="0.25">
      <c r="A98" s="381" t="s">
        <v>416</v>
      </c>
      <c r="B98" s="335"/>
      <c r="C98" s="339" t="s">
        <v>109</v>
      </c>
      <c r="D98" s="546" t="s">
        <v>16</v>
      </c>
      <c r="E98" s="382">
        <f>E97*1.1</f>
        <v>1.056</v>
      </c>
    </row>
    <row r="99" spans="1:5" x14ac:dyDescent="0.25">
      <c r="A99" s="379" t="s">
        <v>383</v>
      </c>
      <c r="B99" s="331"/>
      <c r="C99" s="340" t="s">
        <v>198</v>
      </c>
      <c r="D99" s="538" t="s">
        <v>60</v>
      </c>
      <c r="E99" s="520">
        <f>(E79+E80)*1.6</f>
        <v>158.08000000000001</v>
      </c>
    </row>
    <row r="100" spans="1:5" ht="29.25" customHeight="1" x14ac:dyDescent="0.25">
      <c r="A100" s="379" t="s">
        <v>389</v>
      </c>
      <c r="B100" s="337"/>
      <c r="C100" s="338" t="s">
        <v>440</v>
      </c>
      <c r="D100" s="545" t="s">
        <v>25</v>
      </c>
      <c r="E100" s="380">
        <v>27.8</v>
      </c>
    </row>
    <row r="101" spans="1:5" x14ac:dyDescent="0.25">
      <c r="A101" s="381" t="s">
        <v>418</v>
      </c>
      <c r="B101" s="335"/>
      <c r="C101" s="339" t="s">
        <v>441</v>
      </c>
      <c r="D101" s="546" t="s">
        <v>25</v>
      </c>
      <c r="E101" s="382">
        <v>27.8</v>
      </c>
    </row>
    <row r="102" spans="1:5" x14ac:dyDescent="0.25">
      <c r="A102" s="381" t="s">
        <v>463</v>
      </c>
      <c r="B102" s="335"/>
      <c r="C102" s="339" t="s">
        <v>94</v>
      </c>
      <c r="D102" s="546" t="s">
        <v>36</v>
      </c>
      <c r="E102" s="382">
        <v>6</v>
      </c>
    </row>
    <row r="103" spans="1:5" x14ac:dyDescent="0.25">
      <c r="A103" s="381" t="s">
        <v>464</v>
      </c>
      <c r="B103" s="335"/>
      <c r="C103" s="339" t="s">
        <v>95</v>
      </c>
      <c r="D103" s="546" t="s">
        <v>36</v>
      </c>
      <c r="E103" s="382">
        <v>6</v>
      </c>
    </row>
    <row r="104" spans="1:5" x14ac:dyDescent="0.25">
      <c r="A104" s="381" t="s">
        <v>465</v>
      </c>
      <c r="B104" s="335"/>
      <c r="C104" s="339" t="s">
        <v>96</v>
      </c>
      <c r="D104" s="546" t="s">
        <v>36</v>
      </c>
      <c r="E104" s="382">
        <v>3</v>
      </c>
    </row>
    <row r="105" spans="1:5" x14ac:dyDescent="0.25">
      <c r="A105" s="379" t="s">
        <v>390</v>
      </c>
      <c r="B105" s="335"/>
      <c r="C105" s="483" t="s">
        <v>78</v>
      </c>
      <c r="D105" s="538" t="s">
        <v>36</v>
      </c>
      <c r="E105" s="380">
        <v>2</v>
      </c>
    </row>
    <row r="106" spans="1:5" x14ac:dyDescent="0.25">
      <c r="A106" s="381" t="s">
        <v>466</v>
      </c>
      <c r="B106" s="335"/>
      <c r="C106" s="549" t="s">
        <v>79</v>
      </c>
      <c r="D106" s="539" t="s">
        <v>36</v>
      </c>
      <c r="E106" s="382">
        <v>2</v>
      </c>
    </row>
    <row r="107" spans="1:5" x14ac:dyDescent="0.25">
      <c r="A107" s="379" t="s">
        <v>419</v>
      </c>
      <c r="B107" s="335"/>
      <c r="C107" s="483" t="s">
        <v>81</v>
      </c>
      <c r="D107" s="538" t="s">
        <v>36</v>
      </c>
      <c r="E107" s="380">
        <v>5</v>
      </c>
    </row>
    <row r="108" spans="1:5" x14ac:dyDescent="0.25">
      <c r="A108" s="381" t="s">
        <v>467</v>
      </c>
      <c r="B108" s="335"/>
      <c r="C108" s="549" t="s">
        <v>82</v>
      </c>
      <c r="D108" s="539" t="s">
        <v>36</v>
      </c>
      <c r="E108" s="382">
        <v>5</v>
      </c>
    </row>
    <row r="109" spans="1:5" x14ac:dyDescent="0.25">
      <c r="A109" s="379" t="s">
        <v>420</v>
      </c>
      <c r="B109" s="335"/>
      <c r="C109" s="483" t="s">
        <v>83</v>
      </c>
      <c r="D109" s="538" t="s">
        <v>60</v>
      </c>
      <c r="E109" s="520">
        <v>0.156</v>
      </c>
    </row>
    <row r="110" spans="1:5" x14ac:dyDescent="0.25">
      <c r="A110" s="381" t="s">
        <v>468</v>
      </c>
      <c r="B110" s="335"/>
      <c r="C110" s="549" t="s">
        <v>84</v>
      </c>
      <c r="D110" s="539" t="s">
        <v>36</v>
      </c>
      <c r="E110" s="382">
        <v>1</v>
      </c>
    </row>
    <row r="111" spans="1:5" x14ac:dyDescent="0.25">
      <c r="A111" s="381" t="s">
        <v>469</v>
      </c>
      <c r="B111" s="335"/>
      <c r="C111" s="549" t="s">
        <v>224</v>
      </c>
      <c r="D111" s="539" t="s">
        <v>36</v>
      </c>
      <c r="E111" s="382">
        <v>1</v>
      </c>
    </row>
    <row r="112" spans="1:5" ht="16.5" customHeight="1" x14ac:dyDescent="0.25">
      <c r="A112" s="379" t="s">
        <v>470</v>
      </c>
      <c r="B112" s="335"/>
      <c r="C112" s="483" t="s">
        <v>85</v>
      </c>
      <c r="D112" s="538" t="s">
        <v>36</v>
      </c>
      <c r="E112" s="380">
        <v>2</v>
      </c>
    </row>
    <row r="113" spans="1:5" x14ac:dyDescent="0.25">
      <c r="A113" s="381" t="s">
        <v>471</v>
      </c>
      <c r="B113" s="335"/>
      <c r="C113" s="549" t="s">
        <v>87</v>
      </c>
      <c r="D113" s="539" t="s">
        <v>36</v>
      </c>
      <c r="E113" s="382">
        <v>2</v>
      </c>
    </row>
    <row r="114" spans="1:5" x14ac:dyDescent="0.25">
      <c r="A114" s="381" t="s">
        <v>472</v>
      </c>
      <c r="B114" s="335"/>
      <c r="C114" s="549" t="s">
        <v>88</v>
      </c>
      <c r="D114" s="539" t="s">
        <v>36</v>
      </c>
      <c r="E114" s="382">
        <v>2</v>
      </c>
    </row>
    <row r="115" spans="1:5" x14ac:dyDescent="0.25">
      <c r="A115" s="379" t="s">
        <v>473</v>
      </c>
      <c r="B115" s="335"/>
      <c r="C115" s="483" t="s">
        <v>89</v>
      </c>
      <c r="D115" s="538" t="s">
        <v>36</v>
      </c>
      <c r="E115" s="380">
        <v>2</v>
      </c>
    </row>
    <row r="116" spans="1:5" x14ac:dyDescent="0.25">
      <c r="A116" s="381" t="s">
        <v>474</v>
      </c>
      <c r="B116" s="335"/>
      <c r="C116" s="549" t="s">
        <v>172</v>
      </c>
      <c r="D116" s="539" t="s">
        <v>36</v>
      </c>
      <c r="E116" s="382">
        <v>2</v>
      </c>
    </row>
    <row r="117" spans="1:5" x14ac:dyDescent="0.25">
      <c r="A117" s="381" t="s">
        <v>475</v>
      </c>
      <c r="B117" s="335"/>
      <c r="C117" s="549" t="s">
        <v>173</v>
      </c>
      <c r="D117" s="539" t="s">
        <v>36</v>
      </c>
      <c r="E117" s="382">
        <v>2</v>
      </c>
    </row>
    <row r="118" spans="1:5" x14ac:dyDescent="0.25">
      <c r="A118" s="379" t="s">
        <v>476</v>
      </c>
      <c r="B118" s="335"/>
      <c r="C118" s="483" t="s">
        <v>174</v>
      </c>
      <c r="D118" s="538" t="s">
        <v>36</v>
      </c>
      <c r="E118" s="380">
        <v>3</v>
      </c>
    </row>
    <row r="119" spans="1:5" x14ac:dyDescent="0.25">
      <c r="A119" s="381" t="s">
        <v>477</v>
      </c>
      <c r="B119" s="335"/>
      <c r="C119" s="549" t="s">
        <v>176</v>
      </c>
      <c r="D119" s="539" t="s">
        <v>36</v>
      </c>
      <c r="E119" s="382">
        <v>3</v>
      </c>
    </row>
    <row r="120" spans="1:5" x14ac:dyDescent="0.25">
      <c r="A120" s="381" t="s">
        <v>478</v>
      </c>
      <c r="B120" s="335"/>
      <c r="C120" s="549" t="s">
        <v>177</v>
      </c>
      <c r="D120" s="539" t="s">
        <v>36</v>
      </c>
      <c r="E120" s="382">
        <v>3</v>
      </c>
    </row>
    <row r="121" spans="1:5" x14ac:dyDescent="0.25">
      <c r="A121" s="379" t="s">
        <v>479</v>
      </c>
      <c r="B121" s="335"/>
      <c r="C121" s="483" t="s">
        <v>98</v>
      </c>
      <c r="D121" s="538" t="s">
        <v>36</v>
      </c>
      <c r="E121" s="380">
        <v>2</v>
      </c>
    </row>
    <row r="122" spans="1:5" x14ac:dyDescent="0.25">
      <c r="A122" s="381" t="s">
        <v>480</v>
      </c>
      <c r="B122" s="335"/>
      <c r="C122" s="549" t="s">
        <v>100</v>
      </c>
      <c r="D122" s="539" t="s">
        <v>36</v>
      </c>
      <c r="E122" s="382">
        <v>2</v>
      </c>
    </row>
    <row r="123" spans="1:5" x14ac:dyDescent="0.25">
      <c r="A123" s="379" t="s">
        <v>481</v>
      </c>
      <c r="B123" s="335"/>
      <c r="C123" s="332" t="s">
        <v>222</v>
      </c>
      <c r="D123" s="538" t="s">
        <v>36</v>
      </c>
      <c r="E123" s="380">
        <v>1</v>
      </c>
    </row>
    <row r="124" spans="1:5" ht="30" x14ac:dyDescent="0.25">
      <c r="A124" s="381" t="s">
        <v>482</v>
      </c>
      <c r="B124" s="335"/>
      <c r="C124" s="336" t="s">
        <v>223</v>
      </c>
      <c r="D124" s="539" t="s">
        <v>36</v>
      </c>
      <c r="E124" s="382">
        <v>1</v>
      </c>
    </row>
    <row r="125" spans="1:5" x14ac:dyDescent="0.25">
      <c r="A125" s="381" t="s">
        <v>483</v>
      </c>
      <c r="B125" s="335"/>
      <c r="C125" s="336" t="s">
        <v>284</v>
      </c>
      <c r="D125" s="539" t="s">
        <v>36</v>
      </c>
      <c r="E125" s="382">
        <v>1</v>
      </c>
    </row>
    <row r="126" spans="1:5" x14ac:dyDescent="0.25">
      <c r="A126" s="381" t="s">
        <v>484</v>
      </c>
      <c r="B126" s="335"/>
      <c r="C126" s="336" t="s">
        <v>285</v>
      </c>
      <c r="D126" s="539" t="s">
        <v>36</v>
      </c>
      <c r="E126" s="382">
        <v>2</v>
      </c>
    </row>
    <row r="127" spans="1:5" x14ac:dyDescent="0.25">
      <c r="A127" s="381" t="s">
        <v>485</v>
      </c>
      <c r="B127" s="335"/>
      <c r="C127" s="336" t="s">
        <v>286</v>
      </c>
      <c r="D127" s="539" t="s">
        <v>36</v>
      </c>
      <c r="E127" s="382">
        <v>1</v>
      </c>
    </row>
    <row r="128" spans="1:5" x14ac:dyDescent="0.25">
      <c r="A128" s="381" t="s">
        <v>486</v>
      </c>
      <c r="B128" s="335"/>
      <c r="C128" s="336" t="s">
        <v>287</v>
      </c>
      <c r="D128" s="539" t="s">
        <v>36</v>
      </c>
      <c r="E128" s="382">
        <v>1</v>
      </c>
    </row>
    <row r="129" spans="1:35" x14ac:dyDescent="0.25">
      <c r="A129" s="381" t="s">
        <v>487</v>
      </c>
      <c r="B129" s="335"/>
      <c r="C129" s="336" t="s">
        <v>288</v>
      </c>
      <c r="D129" s="539" t="s">
        <v>36</v>
      </c>
      <c r="E129" s="382">
        <v>1</v>
      </c>
    </row>
    <row r="130" spans="1:35" x14ac:dyDescent="0.25">
      <c r="A130" s="379" t="s">
        <v>488</v>
      </c>
      <c r="B130" s="335"/>
      <c r="C130" s="483" t="s">
        <v>105</v>
      </c>
      <c r="D130" s="538" t="s">
        <v>25</v>
      </c>
      <c r="E130" s="520">
        <f>E100+E24</f>
        <v>81.900000000000006</v>
      </c>
    </row>
    <row r="131" spans="1:35" ht="15.75" thickBot="1" x14ac:dyDescent="0.3">
      <c r="A131" s="420" t="s">
        <v>489</v>
      </c>
      <c r="B131" s="421"/>
      <c r="C131" s="551" t="s">
        <v>442</v>
      </c>
      <c r="D131" s="552" t="s">
        <v>25</v>
      </c>
      <c r="E131" s="535">
        <f>E130</f>
        <v>81.900000000000006</v>
      </c>
    </row>
    <row r="132" spans="1:35" x14ac:dyDescent="0.25">
      <c r="A132" s="3"/>
      <c r="B132" s="143"/>
      <c r="C132" s="3"/>
      <c r="D132" s="3"/>
      <c r="E132" s="3"/>
    </row>
    <row r="133" spans="1:35" ht="28.5" customHeight="1" x14ac:dyDescent="0.25">
      <c r="A133" s="487" t="s">
        <v>328</v>
      </c>
      <c r="B133" s="498"/>
      <c r="C133" s="498" t="s">
        <v>330</v>
      </c>
      <c r="D133" s="498"/>
      <c r="E133" s="498"/>
      <c r="F133" s="498"/>
      <c r="G133" s="498"/>
      <c r="H133" s="498"/>
      <c r="I133" s="487"/>
      <c r="J133" s="487"/>
      <c r="K133" s="487"/>
      <c r="L133" s="487"/>
      <c r="M133" s="487"/>
      <c r="N133" s="487"/>
      <c r="O133" s="487"/>
      <c r="P133" s="487"/>
      <c r="Q133" s="487"/>
      <c r="R133" s="487"/>
      <c r="S133" s="488"/>
      <c r="T133" s="489"/>
      <c r="U133" s="490"/>
      <c r="V133" s="490"/>
      <c r="W133" s="489"/>
      <c r="X133" s="490"/>
      <c r="Y133" s="490"/>
      <c r="Z133" s="489"/>
      <c r="AA133" s="490"/>
      <c r="AB133" s="490"/>
      <c r="AC133" s="489"/>
      <c r="AD133" s="490"/>
      <c r="AE133" s="490"/>
      <c r="AF133" s="489"/>
      <c r="AG133" s="491"/>
      <c r="AH133" s="491"/>
      <c r="AI133" s="492"/>
    </row>
    <row r="134" spans="1:35" ht="15.75" customHeight="1" x14ac:dyDescent="0.25">
      <c r="A134" s="487"/>
      <c r="B134" s="498"/>
      <c r="C134" s="498"/>
      <c r="D134" s="498"/>
      <c r="E134" s="498"/>
      <c r="F134" s="498"/>
      <c r="G134" s="498"/>
      <c r="H134" s="498"/>
      <c r="I134" s="487"/>
      <c r="J134" s="487"/>
      <c r="K134" s="487"/>
      <c r="L134" s="487"/>
      <c r="M134" s="487"/>
      <c r="N134" s="487"/>
      <c r="O134" s="487"/>
      <c r="P134" s="487"/>
      <c r="Q134" s="487"/>
      <c r="R134" s="487"/>
      <c r="S134" s="488"/>
      <c r="T134" s="489"/>
      <c r="U134" s="490"/>
      <c r="V134" s="490"/>
      <c r="W134" s="489"/>
      <c r="X134" s="490"/>
      <c r="Y134" s="490"/>
      <c r="Z134" s="489"/>
      <c r="AA134" s="490"/>
      <c r="AB134" s="490"/>
      <c r="AC134" s="489"/>
      <c r="AD134" s="490"/>
      <c r="AE134" s="490"/>
      <c r="AF134" s="489"/>
      <c r="AG134" s="491"/>
      <c r="AH134" s="491"/>
      <c r="AI134" s="491"/>
    </row>
    <row r="135" spans="1:35" ht="15.75" customHeight="1" x14ac:dyDescent="0.25">
      <c r="A135" s="487" t="s">
        <v>329</v>
      </c>
      <c r="B135" s="498"/>
      <c r="C135" s="498" t="s">
        <v>331</v>
      </c>
      <c r="D135" s="498"/>
      <c r="E135" s="498"/>
      <c r="F135" s="498"/>
      <c r="G135" s="498"/>
      <c r="H135" s="498"/>
      <c r="I135" s="487"/>
      <c r="J135" s="487"/>
      <c r="K135" s="487"/>
      <c r="L135" s="487"/>
      <c r="M135" s="487"/>
      <c r="N135" s="487"/>
      <c r="O135" s="487"/>
      <c r="P135" s="487"/>
      <c r="Q135" s="487"/>
      <c r="R135" s="487"/>
      <c r="S135" s="488"/>
      <c r="T135" s="489"/>
      <c r="U135" s="490"/>
      <c r="V135" s="490"/>
      <c r="W135" s="489"/>
      <c r="X135" s="490"/>
      <c r="Y135" s="490"/>
      <c r="Z135" s="489"/>
      <c r="AA135" s="490"/>
      <c r="AB135" s="490"/>
      <c r="AC135" s="489"/>
      <c r="AD135" s="490"/>
      <c r="AE135" s="490"/>
      <c r="AF135" s="489"/>
      <c r="AG135" s="491"/>
      <c r="AH135" s="491"/>
      <c r="AI135" s="492"/>
    </row>
    <row r="136" spans="1:35" ht="15.75" customHeight="1" x14ac:dyDescent="0.25">
      <c r="A136" s="493"/>
      <c r="B136" s="499"/>
      <c r="C136" s="499"/>
      <c r="D136" s="499"/>
      <c r="E136" s="499"/>
      <c r="F136" s="500"/>
      <c r="G136" s="500"/>
      <c r="H136" s="500"/>
      <c r="I136" s="495"/>
      <c r="J136" s="495"/>
      <c r="K136" s="495"/>
      <c r="L136" s="495"/>
      <c r="M136" s="495"/>
      <c r="N136" s="495"/>
      <c r="O136" s="495"/>
      <c r="P136" s="495"/>
      <c r="Q136" s="495"/>
      <c r="R136" s="495"/>
      <c r="S136" s="495"/>
      <c r="T136" s="494"/>
      <c r="U136" s="494"/>
      <c r="V136" s="494"/>
      <c r="W136" s="494"/>
      <c r="X136" s="494"/>
      <c r="Y136" s="496"/>
      <c r="Z136" s="497"/>
      <c r="AA136" s="497"/>
      <c r="AB136" s="497"/>
      <c r="AC136" s="497"/>
      <c r="AD136" s="497"/>
      <c r="AE136" s="497"/>
      <c r="AF136" s="491"/>
      <c r="AG136" s="491"/>
      <c r="AH136" s="491"/>
      <c r="AI136" s="491"/>
    </row>
    <row r="137" spans="1:35" ht="15.75" customHeight="1" x14ac:dyDescent="0.25">
      <c r="A137" s="487" t="s">
        <v>333</v>
      </c>
      <c r="B137" s="498"/>
      <c r="C137" s="498" t="s">
        <v>332</v>
      </c>
      <c r="D137" s="498"/>
      <c r="E137" s="498"/>
      <c r="F137" s="500"/>
      <c r="G137" s="500"/>
      <c r="H137" s="500"/>
      <c r="I137" s="495"/>
      <c r="J137" s="495"/>
      <c r="K137" s="495"/>
      <c r="L137" s="495"/>
      <c r="M137" s="495"/>
      <c r="N137" s="495"/>
      <c r="O137" s="495"/>
      <c r="P137" s="495"/>
      <c r="Q137" s="495"/>
      <c r="R137" s="495"/>
      <c r="S137" s="495"/>
      <c r="T137" s="494"/>
      <c r="U137" s="494"/>
      <c r="V137" s="494"/>
      <c r="W137" s="494"/>
      <c r="X137" s="494"/>
      <c r="Y137" s="496"/>
      <c r="Z137" s="497"/>
      <c r="AA137" s="497"/>
      <c r="AB137" s="497"/>
      <c r="AC137" s="497"/>
      <c r="AD137" s="497"/>
      <c r="AE137" s="497"/>
      <c r="AF137" s="489"/>
      <c r="AG137" s="491"/>
      <c r="AH137" s="491"/>
      <c r="AI137" s="492"/>
    </row>
  </sheetData>
  <autoFilter ref="A13:E13" xr:uid="{2CEBBF08-7017-4F0E-BCF6-C10BDC34B791}"/>
  <mergeCells count="6">
    <mergeCell ref="A9:E9"/>
    <mergeCell ref="A10:E10"/>
    <mergeCell ref="A11:A12"/>
    <mergeCell ref="C11:C12"/>
    <mergeCell ref="D11:D12"/>
    <mergeCell ref="E11:E12"/>
  </mergeCells>
  <phoneticPr fontId="16" type="noConversion"/>
  <conditionalFormatting sqref="Y133:AI137">
    <cfRule type="cellIs" dxfId="0" priority="1" operator="lessThan">
      <formula>0</formula>
    </cfRule>
  </conditionalFormatting>
  <pageMargins left="0.31496062992125984" right="0.31496062992125984" top="0.55118110236220474" bottom="0.35433070866141736" header="0.31496062992125984" footer="0.31496062992125984"/>
  <pageSetup paperSize="9" scale="7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FC128-26F6-4A79-8E9D-CF7E9BF55CD9}">
  <sheetPr>
    <tabColor rgb="FFFF0000"/>
    <pageSetUpPr fitToPage="1"/>
  </sheetPr>
  <dimension ref="A1:T73"/>
  <sheetViews>
    <sheetView view="pageBreakPreview" topLeftCell="A22" zoomScaleNormal="100" zoomScaleSheetLayoutView="100" workbookViewId="0">
      <selection activeCell="T31" sqref="T31"/>
    </sheetView>
  </sheetViews>
  <sheetFormatPr defaultRowHeight="12.75" outlineLevelCol="1" x14ac:dyDescent="0.25"/>
  <cols>
    <col min="1" max="1" width="6.85546875" style="579" customWidth="1"/>
    <col min="2" max="2" width="12.28515625" style="579" customWidth="1"/>
    <col min="3" max="3" width="62.5703125" style="579" customWidth="1"/>
    <col min="4" max="4" width="6" style="581" customWidth="1"/>
    <col min="5" max="5" width="12.85546875" style="579" customWidth="1"/>
    <col min="6" max="11" width="6.7109375" style="579" hidden="1" customWidth="1" outlineLevel="1"/>
    <col min="12" max="13" width="7" style="579" hidden="1" customWidth="1" outlineLevel="1"/>
    <col min="14" max="15" width="6.7109375" style="579" hidden="1" customWidth="1" outlineLevel="1"/>
    <col min="16" max="19" width="7" style="579" hidden="1" customWidth="1" outlineLevel="1"/>
    <col min="20" max="20" width="39.5703125" style="580" customWidth="1" collapsed="1"/>
    <col min="21" max="16384" width="9.140625" style="579"/>
  </cols>
  <sheetData>
    <row r="1" spans="1:20" s="612" customFormat="1" ht="15" customHeight="1" x14ac:dyDescent="0.25">
      <c r="A1" s="615"/>
      <c r="B1" s="615"/>
      <c r="C1" s="615"/>
      <c r="D1" s="615"/>
      <c r="E1" s="614"/>
      <c r="F1" s="613"/>
      <c r="G1" s="613"/>
      <c r="H1" s="613"/>
      <c r="I1" s="613"/>
      <c r="J1" s="613"/>
      <c r="K1" s="613"/>
      <c r="L1" s="613"/>
      <c r="M1" s="613"/>
      <c r="N1" s="613"/>
      <c r="O1" s="613"/>
      <c r="P1" s="613"/>
      <c r="Q1" s="613"/>
      <c r="R1" s="613"/>
      <c r="S1" s="613"/>
      <c r="T1" s="613"/>
    </row>
    <row r="2" spans="1:20" s="605" customFormat="1" ht="15" customHeight="1" x14ac:dyDescent="0.25">
      <c r="A2" s="611" t="s">
        <v>317</v>
      </c>
      <c r="B2" s="611"/>
      <c r="C2" s="611"/>
      <c r="D2" s="611"/>
      <c r="E2" s="607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603"/>
      <c r="T2" s="630" t="s">
        <v>316</v>
      </c>
    </row>
    <row r="3" spans="1:20" s="605" customFormat="1" ht="15" customHeight="1" x14ac:dyDescent="0.25">
      <c r="A3" s="610" t="s">
        <v>556</v>
      </c>
      <c r="B3" s="610"/>
      <c r="C3" s="610"/>
      <c r="D3" s="610"/>
      <c r="E3" s="607"/>
      <c r="F3" s="603"/>
      <c r="G3" s="603"/>
      <c r="H3" s="603"/>
      <c r="I3" s="603"/>
      <c r="J3" s="603"/>
      <c r="K3" s="603"/>
      <c r="L3" s="603"/>
      <c r="M3" s="603"/>
      <c r="N3" s="603"/>
      <c r="O3" s="603"/>
      <c r="P3" s="603"/>
      <c r="Q3" s="603"/>
      <c r="R3" s="603"/>
      <c r="S3" s="603"/>
      <c r="T3" s="627" t="s">
        <v>318</v>
      </c>
    </row>
    <row r="4" spans="1:20" s="605" customFormat="1" ht="15" customHeight="1" x14ac:dyDescent="0.25">
      <c r="A4" s="611" t="s">
        <v>320</v>
      </c>
      <c r="B4" s="611"/>
      <c r="C4" s="611"/>
      <c r="D4" s="611"/>
      <c r="E4" s="607"/>
      <c r="F4" s="603"/>
      <c r="G4" s="603"/>
      <c r="H4" s="603"/>
      <c r="I4" s="603"/>
      <c r="J4" s="603"/>
      <c r="K4" s="603"/>
      <c r="L4" s="603"/>
      <c r="M4" s="603"/>
      <c r="N4" s="603"/>
      <c r="O4" s="603"/>
      <c r="P4" s="603"/>
      <c r="Q4" s="603"/>
      <c r="R4" s="603"/>
      <c r="S4" s="603"/>
      <c r="T4" s="629"/>
    </row>
    <row r="5" spans="1:20" s="605" customFormat="1" ht="15" customHeight="1" x14ac:dyDescent="0.25">
      <c r="A5" s="610" t="s">
        <v>322</v>
      </c>
      <c r="B5" s="610"/>
      <c r="C5" s="610"/>
      <c r="D5" s="610"/>
      <c r="E5" s="607"/>
      <c r="F5" s="603"/>
      <c r="G5" s="603"/>
      <c r="H5" s="603"/>
      <c r="I5" s="603"/>
      <c r="J5" s="603"/>
      <c r="K5" s="603"/>
      <c r="L5" s="603"/>
      <c r="M5" s="603"/>
      <c r="N5" s="603"/>
      <c r="O5" s="603"/>
      <c r="P5" s="603"/>
      <c r="Q5" s="603"/>
      <c r="R5" s="603"/>
      <c r="S5" s="603"/>
      <c r="T5" s="627" t="s">
        <v>321</v>
      </c>
    </row>
    <row r="6" spans="1:20" s="605" customFormat="1" ht="15" customHeight="1" x14ac:dyDescent="0.25">
      <c r="A6" s="610" t="s">
        <v>323</v>
      </c>
      <c r="B6" s="610"/>
      <c r="C6" s="610"/>
      <c r="D6" s="610"/>
      <c r="E6" s="607"/>
      <c r="F6" s="603"/>
      <c r="G6" s="603"/>
      <c r="H6" s="603"/>
      <c r="I6" s="603"/>
      <c r="J6" s="603"/>
      <c r="K6" s="603"/>
      <c r="L6" s="603"/>
      <c r="M6" s="603"/>
      <c r="N6" s="603"/>
      <c r="O6" s="603"/>
      <c r="P6" s="603"/>
      <c r="Q6" s="603"/>
      <c r="R6" s="603"/>
      <c r="S6" s="603"/>
      <c r="T6" s="628"/>
    </row>
    <row r="7" spans="1:20" s="605" customFormat="1" ht="15" customHeight="1" x14ac:dyDescent="0.25">
      <c r="A7" s="610" t="s">
        <v>555</v>
      </c>
      <c r="B7" s="610"/>
      <c r="C7" s="610"/>
      <c r="D7" s="610"/>
      <c r="E7" s="607"/>
      <c r="F7" s="603"/>
      <c r="G7" s="603"/>
      <c r="H7" s="603"/>
      <c r="I7" s="603"/>
      <c r="J7" s="603"/>
      <c r="K7" s="603"/>
      <c r="L7" s="603"/>
      <c r="M7" s="603"/>
      <c r="N7" s="603"/>
      <c r="O7" s="603"/>
      <c r="P7" s="603"/>
      <c r="Q7" s="603"/>
      <c r="R7" s="603"/>
      <c r="S7" s="603"/>
      <c r="T7" s="627" t="s">
        <v>360</v>
      </c>
    </row>
    <row r="8" spans="1:20" s="605" customFormat="1" ht="15" customHeight="1" x14ac:dyDescent="0.4">
      <c r="A8" s="609"/>
      <c r="B8" s="609"/>
      <c r="C8" s="609"/>
      <c r="D8" s="609"/>
      <c r="E8" s="607"/>
      <c r="F8" s="603"/>
      <c r="G8" s="603"/>
      <c r="H8" s="603"/>
      <c r="I8" s="603"/>
      <c r="J8" s="603"/>
      <c r="K8" s="603"/>
      <c r="L8" s="603"/>
      <c r="M8" s="603"/>
      <c r="N8" s="603"/>
      <c r="O8" s="603"/>
      <c r="P8" s="603"/>
      <c r="Q8" s="603"/>
      <c r="R8" s="603"/>
      <c r="S8" s="603"/>
      <c r="T8" s="627"/>
    </row>
    <row r="9" spans="1:20" s="605" customFormat="1" ht="15" customHeight="1" x14ac:dyDescent="0.4">
      <c r="A9" s="609"/>
      <c r="B9" s="609"/>
      <c r="C9" s="609"/>
      <c r="D9" s="609"/>
      <c r="E9" s="607"/>
      <c r="F9" s="603"/>
      <c r="G9" s="603"/>
      <c r="H9" s="603"/>
      <c r="I9" s="603"/>
      <c r="J9" s="603"/>
      <c r="K9" s="603"/>
      <c r="L9" s="603"/>
      <c r="M9" s="603"/>
      <c r="N9" s="603"/>
      <c r="O9" s="603"/>
      <c r="P9" s="603"/>
      <c r="Q9" s="603"/>
      <c r="R9" s="603"/>
      <c r="S9" s="603"/>
      <c r="T9" s="627"/>
    </row>
    <row r="10" spans="1:20" s="605" customFormat="1" ht="15" customHeight="1" x14ac:dyDescent="0.25">
      <c r="A10" s="608"/>
      <c r="B10" s="608"/>
      <c r="C10" s="608"/>
      <c r="D10" s="608"/>
      <c r="E10" s="607"/>
      <c r="F10" s="603"/>
      <c r="G10" s="603"/>
      <c r="H10" s="603"/>
      <c r="I10" s="603"/>
      <c r="J10" s="603"/>
      <c r="K10" s="603"/>
      <c r="L10" s="603"/>
      <c r="M10" s="603"/>
      <c r="N10" s="603"/>
      <c r="O10" s="603"/>
      <c r="P10" s="603"/>
      <c r="Q10" s="603"/>
      <c r="R10" s="603"/>
      <c r="S10" s="603"/>
      <c r="T10" s="627" t="s">
        <v>325</v>
      </c>
    </row>
    <row r="11" spans="1:20" s="605" customFormat="1" ht="15" customHeight="1" x14ac:dyDescent="0.25">
      <c r="A11" s="710" t="s">
        <v>585</v>
      </c>
      <c r="B11" s="710"/>
      <c r="C11" s="710"/>
      <c r="D11" s="710"/>
      <c r="E11" s="710"/>
      <c r="F11" s="710"/>
      <c r="G11" s="710"/>
      <c r="H11" s="710"/>
      <c r="I11" s="710"/>
      <c r="J11" s="710"/>
      <c r="K11" s="710"/>
      <c r="L11" s="710"/>
      <c r="M11" s="710"/>
      <c r="N11" s="710"/>
      <c r="O11" s="710"/>
      <c r="P11" s="710"/>
      <c r="Q11" s="710"/>
      <c r="R11" s="710"/>
      <c r="S11" s="710"/>
      <c r="T11" s="710"/>
    </row>
    <row r="12" spans="1:20" s="605" customFormat="1" ht="15" customHeight="1" x14ac:dyDescent="0.25">
      <c r="A12" s="710"/>
      <c r="B12" s="710"/>
      <c r="C12" s="710"/>
      <c r="D12" s="710"/>
      <c r="E12" s="710"/>
      <c r="F12" s="710"/>
      <c r="G12" s="710"/>
      <c r="H12" s="710"/>
      <c r="I12" s="710"/>
      <c r="J12" s="710"/>
      <c r="K12" s="710"/>
      <c r="L12" s="710"/>
      <c r="M12" s="710"/>
      <c r="N12" s="710"/>
      <c r="O12" s="710"/>
      <c r="P12" s="710"/>
      <c r="Q12" s="710"/>
      <c r="R12" s="710"/>
      <c r="S12" s="710"/>
      <c r="T12" s="710"/>
    </row>
    <row r="13" spans="1:20" s="605" customFormat="1" ht="47.25" customHeight="1" x14ac:dyDescent="0.25">
      <c r="A13" s="711" t="s">
        <v>580</v>
      </c>
      <c r="B13" s="711"/>
      <c r="C13" s="712"/>
      <c r="D13" s="712"/>
      <c r="E13" s="712"/>
      <c r="F13" s="712"/>
      <c r="G13" s="712"/>
      <c r="H13" s="712"/>
      <c r="I13" s="712"/>
      <c r="J13" s="712"/>
      <c r="K13" s="712"/>
      <c r="L13" s="712"/>
      <c r="M13" s="712"/>
      <c r="N13" s="712"/>
      <c r="O13" s="712"/>
      <c r="P13" s="712"/>
      <c r="Q13" s="712"/>
      <c r="R13" s="712"/>
      <c r="S13" s="712"/>
      <c r="T13" s="712"/>
    </row>
    <row r="14" spans="1:20" s="605" customFormat="1" ht="15" customHeight="1" thickBot="1" x14ac:dyDescent="0.3">
      <c r="A14" s="606"/>
      <c r="B14" s="606"/>
      <c r="C14" s="713"/>
      <c r="D14" s="713"/>
      <c r="E14" s="713"/>
      <c r="F14" s="713"/>
      <c r="G14" s="713"/>
      <c r="H14" s="713"/>
      <c r="I14" s="713"/>
      <c r="J14" s="713"/>
      <c r="K14" s="713"/>
      <c r="L14" s="713"/>
      <c r="M14" s="713"/>
      <c r="N14" s="713"/>
      <c r="O14" s="713"/>
      <c r="P14" s="713"/>
      <c r="Q14" s="713"/>
      <c r="R14" s="713"/>
      <c r="S14" s="713"/>
      <c r="T14" s="713"/>
    </row>
    <row r="15" spans="1:20" s="603" customFormat="1" ht="15" customHeight="1" x14ac:dyDescent="0.25">
      <c r="A15" s="714" t="s">
        <v>554</v>
      </c>
      <c r="B15" s="717" t="s">
        <v>553</v>
      </c>
      <c r="C15" s="707" t="s">
        <v>552</v>
      </c>
      <c r="D15" s="707" t="s">
        <v>551</v>
      </c>
      <c r="E15" s="707" t="s">
        <v>550</v>
      </c>
      <c r="F15" s="707" t="s">
        <v>549</v>
      </c>
      <c r="G15" s="707" t="s">
        <v>548</v>
      </c>
      <c r="H15" s="707" t="s">
        <v>547</v>
      </c>
      <c r="I15" s="707" t="s">
        <v>546</v>
      </c>
      <c r="J15" s="707" t="s">
        <v>545</v>
      </c>
      <c r="K15" s="707" t="s">
        <v>544</v>
      </c>
      <c r="L15" s="707" t="s">
        <v>543</v>
      </c>
      <c r="M15" s="707" t="s">
        <v>542</v>
      </c>
      <c r="N15" s="707" t="s">
        <v>541</v>
      </c>
      <c r="O15" s="707" t="s">
        <v>540</v>
      </c>
      <c r="P15" s="707" t="s">
        <v>539</v>
      </c>
      <c r="Q15" s="707" t="s">
        <v>538</v>
      </c>
      <c r="R15" s="707" t="s">
        <v>537</v>
      </c>
      <c r="S15" s="707" t="s">
        <v>536</v>
      </c>
      <c r="T15" s="720" t="s">
        <v>535</v>
      </c>
    </row>
    <row r="16" spans="1:20" s="603" customFormat="1" ht="15" customHeight="1" x14ac:dyDescent="0.25">
      <c r="A16" s="715"/>
      <c r="B16" s="718"/>
      <c r="C16" s="708"/>
      <c r="D16" s="708"/>
      <c r="E16" s="708"/>
      <c r="F16" s="708"/>
      <c r="G16" s="708"/>
      <c r="H16" s="708"/>
      <c r="I16" s="708"/>
      <c r="J16" s="708"/>
      <c r="K16" s="708"/>
      <c r="L16" s="708"/>
      <c r="M16" s="708"/>
      <c r="N16" s="708"/>
      <c r="O16" s="708"/>
      <c r="P16" s="708"/>
      <c r="Q16" s="708"/>
      <c r="R16" s="708"/>
      <c r="S16" s="708"/>
      <c r="T16" s="721"/>
    </row>
    <row r="17" spans="1:20" s="603" customFormat="1" ht="36" customHeight="1" x14ac:dyDescent="0.25">
      <c r="A17" s="715"/>
      <c r="B17" s="718"/>
      <c r="C17" s="708"/>
      <c r="D17" s="708"/>
      <c r="E17" s="708"/>
      <c r="F17" s="708"/>
      <c r="G17" s="708"/>
      <c r="H17" s="708"/>
      <c r="I17" s="708"/>
      <c r="J17" s="708"/>
      <c r="K17" s="708"/>
      <c r="L17" s="708"/>
      <c r="M17" s="708"/>
      <c r="N17" s="708"/>
      <c r="O17" s="708"/>
      <c r="P17" s="708"/>
      <c r="Q17" s="708"/>
      <c r="R17" s="708"/>
      <c r="S17" s="708"/>
      <c r="T17" s="721"/>
    </row>
    <row r="18" spans="1:20" s="603" customFormat="1" ht="68.25" customHeight="1" thickBot="1" x14ac:dyDescent="0.3">
      <c r="A18" s="716"/>
      <c r="B18" s="719"/>
      <c r="C18" s="709"/>
      <c r="D18" s="709"/>
      <c r="E18" s="709"/>
      <c r="F18" s="709"/>
      <c r="G18" s="709"/>
      <c r="H18" s="709"/>
      <c r="I18" s="709"/>
      <c r="J18" s="709"/>
      <c r="K18" s="709"/>
      <c r="L18" s="709"/>
      <c r="M18" s="709"/>
      <c r="N18" s="709"/>
      <c r="O18" s="709"/>
      <c r="P18" s="709"/>
      <c r="Q18" s="709"/>
      <c r="R18" s="709"/>
      <c r="S18" s="709"/>
      <c r="T18" s="604" t="s">
        <v>534</v>
      </c>
    </row>
    <row r="19" spans="1:20" s="603" customFormat="1" ht="13.5" x14ac:dyDescent="0.25">
      <c r="A19" s="722" t="s">
        <v>533</v>
      </c>
      <c r="B19" s="723"/>
      <c r="C19" s="723"/>
      <c r="D19" s="723"/>
      <c r="E19" s="723"/>
      <c r="F19" s="723"/>
      <c r="G19" s="723"/>
      <c r="H19" s="723"/>
      <c r="I19" s="723"/>
      <c r="J19" s="723"/>
      <c r="K19" s="723"/>
      <c r="L19" s="723"/>
      <c r="M19" s="723"/>
      <c r="N19" s="723"/>
      <c r="O19" s="723"/>
      <c r="P19" s="723"/>
      <c r="Q19" s="723"/>
      <c r="R19" s="723"/>
      <c r="S19" s="723"/>
      <c r="T19" s="724"/>
    </row>
    <row r="20" spans="1:20" ht="13.5" thickBot="1" x14ac:dyDescent="0.3">
      <c r="A20" s="599" t="s">
        <v>21</v>
      </c>
      <c r="B20" s="591"/>
      <c r="C20" s="593" t="s">
        <v>532</v>
      </c>
      <c r="D20" s="619" t="s">
        <v>16</v>
      </c>
      <c r="E20" s="592"/>
      <c r="F20" s="591"/>
      <c r="G20" s="591"/>
      <c r="H20" s="591"/>
      <c r="I20" s="591"/>
      <c r="J20" s="591"/>
      <c r="K20" s="591"/>
      <c r="L20" s="591"/>
      <c r="M20" s="591"/>
      <c r="N20" s="591"/>
      <c r="O20" s="591"/>
      <c r="P20" s="591"/>
      <c r="Q20" s="591"/>
      <c r="R20" s="591"/>
      <c r="S20" s="591"/>
      <c r="T20" s="590">
        <v>157.96</v>
      </c>
    </row>
    <row r="21" spans="1:20" ht="13.5" x14ac:dyDescent="0.25">
      <c r="A21" s="722" t="s">
        <v>496</v>
      </c>
      <c r="B21" s="723"/>
      <c r="C21" s="723"/>
      <c r="D21" s="723"/>
      <c r="E21" s="723"/>
      <c r="F21" s="723"/>
      <c r="G21" s="723"/>
      <c r="H21" s="723"/>
      <c r="I21" s="723"/>
      <c r="J21" s="723"/>
      <c r="K21" s="723"/>
      <c r="L21" s="723"/>
      <c r="M21" s="723"/>
      <c r="N21" s="723"/>
      <c r="O21" s="723"/>
      <c r="P21" s="723"/>
      <c r="Q21" s="723"/>
      <c r="R21" s="723"/>
      <c r="S21" s="723"/>
      <c r="T21" s="724"/>
    </row>
    <row r="22" spans="1:20" x14ac:dyDescent="0.25">
      <c r="A22" s="594">
        <v>1</v>
      </c>
      <c r="B22" s="591"/>
      <c r="C22" s="593" t="s">
        <v>422</v>
      </c>
      <c r="D22" s="619" t="s">
        <v>25</v>
      </c>
      <c r="E22" s="592"/>
      <c r="F22" s="591"/>
      <c r="G22" s="591"/>
      <c r="H22" s="591"/>
      <c r="I22" s="591"/>
      <c r="J22" s="591"/>
      <c r="K22" s="591"/>
      <c r="L22" s="591"/>
      <c r="M22" s="591"/>
      <c r="N22" s="591"/>
      <c r="O22" s="591"/>
      <c r="P22" s="591"/>
      <c r="Q22" s="591"/>
      <c r="R22" s="591"/>
      <c r="S22" s="591"/>
      <c r="T22" s="590">
        <v>83.25</v>
      </c>
    </row>
    <row r="23" spans="1:20" x14ac:dyDescent="0.25">
      <c r="A23" s="594">
        <v>2</v>
      </c>
      <c r="B23" s="591"/>
      <c r="C23" s="593" t="s">
        <v>424</v>
      </c>
      <c r="D23" s="619" t="s">
        <v>25</v>
      </c>
      <c r="E23" s="592"/>
      <c r="F23" s="591"/>
      <c r="G23" s="591"/>
      <c r="H23" s="591"/>
      <c r="I23" s="591"/>
      <c r="J23" s="591"/>
      <c r="K23" s="591"/>
      <c r="L23" s="591"/>
      <c r="M23" s="591"/>
      <c r="N23" s="591"/>
      <c r="O23" s="591"/>
      <c r="P23" s="591"/>
      <c r="Q23" s="591"/>
      <c r="R23" s="591"/>
      <c r="S23" s="591"/>
      <c r="T23" s="590">
        <v>22.4</v>
      </c>
    </row>
    <row r="24" spans="1:20" ht="15" customHeight="1" x14ac:dyDescent="0.25">
      <c r="A24" s="725" t="s">
        <v>495</v>
      </c>
      <c r="B24" s="726"/>
      <c r="C24" s="726"/>
      <c r="D24" s="726"/>
      <c r="E24" s="726"/>
      <c r="F24" s="726"/>
      <c r="G24" s="726"/>
      <c r="H24" s="726"/>
      <c r="I24" s="726"/>
      <c r="J24" s="726"/>
      <c r="K24" s="726"/>
      <c r="L24" s="726"/>
      <c r="M24" s="726"/>
      <c r="N24" s="726"/>
      <c r="O24" s="726"/>
      <c r="P24" s="726"/>
      <c r="Q24" s="726"/>
      <c r="R24" s="726"/>
      <c r="S24" s="726"/>
      <c r="T24" s="727"/>
    </row>
    <row r="25" spans="1:20" x14ac:dyDescent="0.25">
      <c r="A25" s="594">
        <v>1</v>
      </c>
      <c r="B25" s="591"/>
      <c r="C25" s="593" t="s">
        <v>118</v>
      </c>
      <c r="D25" s="619" t="s">
        <v>36</v>
      </c>
      <c r="E25" s="592"/>
      <c r="F25" s="591"/>
      <c r="G25" s="591"/>
      <c r="H25" s="591"/>
      <c r="I25" s="591"/>
      <c r="J25" s="591"/>
      <c r="K25" s="591"/>
      <c r="L25" s="591"/>
      <c r="M25" s="591"/>
      <c r="N25" s="591"/>
      <c r="O25" s="591"/>
      <c r="P25" s="591"/>
      <c r="Q25" s="591"/>
      <c r="R25" s="591"/>
      <c r="S25" s="591"/>
      <c r="T25" s="590">
        <v>1</v>
      </c>
    </row>
    <row r="26" spans="1:20" x14ac:dyDescent="0.25">
      <c r="A26" s="594">
        <v>2</v>
      </c>
      <c r="B26" s="591"/>
      <c r="C26" s="593" t="s">
        <v>584</v>
      </c>
      <c r="D26" s="619" t="s">
        <v>36</v>
      </c>
      <c r="E26" s="592"/>
      <c r="F26" s="591"/>
      <c r="G26" s="591"/>
      <c r="H26" s="591"/>
      <c r="I26" s="591"/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0">
        <v>2</v>
      </c>
    </row>
    <row r="27" spans="1:20" x14ac:dyDescent="0.25">
      <c r="A27" s="594">
        <v>3</v>
      </c>
      <c r="B27" s="591"/>
      <c r="C27" s="593" t="s">
        <v>425</v>
      </c>
      <c r="D27" s="619" t="s">
        <v>36</v>
      </c>
      <c r="E27" s="592"/>
      <c r="F27" s="591"/>
      <c r="G27" s="591"/>
      <c r="H27" s="591"/>
      <c r="I27" s="591"/>
      <c r="J27" s="591"/>
      <c r="K27" s="591"/>
      <c r="L27" s="591"/>
      <c r="M27" s="591"/>
      <c r="N27" s="591"/>
      <c r="O27" s="591"/>
      <c r="P27" s="591"/>
      <c r="Q27" s="591"/>
      <c r="R27" s="591"/>
      <c r="S27" s="591"/>
      <c r="T27" s="590">
        <v>3</v>
      </c>
    </row>
    <row r="28" spans="1:20" x14ac:dyDescent="0.25">
      <c r="A28" s="594">
        <v>4</v>
      </c>
      <c r="B28" s="591"/>
      <c r="C28" s="593" t="s">
        <v>290</v>
      </c>
      <c r="D28" s="619" t="s">
        <v>27</v>
      </c>
      <c r="E28" s="592"/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0">
        <v>19.8</v>
      </c>
    </row>
    <row r="29" spans="1:20" x14ac:dyDescent="0.25">
      <c r="A29" s="594">
        <v>5</v>
      </c>
      <c r="B29" s="591"/>
      <c r="C29" s="593" t="s">
        <v>241</v>
      </c>
      <c r="D29" s="619" t="s">
        <v>16</v>
      </c>
      <c r="E29" s="592"/>
      <c r="F29" s="591"/>
      <c r="G29" s="591"/>
      <c r="H29" s="591"/>
      <c r="I29" s="591"/>
      <c r="J29" s="591"/>
      <c r="K29" s="591"/>
      <c r="L29" s="591"/>
      <c r="M29" s="591"/>
      <c r="N29" s="591"/>
      <c r="O29" s="591"/>
      <c r="P29" s="591"/>
      <c r="Q29" s="591"/>
      <c r="R29" s="591"/>
      <c r="S29" s="591"/>
      <c r="T29" s="590">
        <v>10</v>
      </c>
    </row>
    <row r="30" spans="1:20" x14ac:dyDescent="0.25">
      <c r="A30" s="594">
        <v>6</v>
      </c>
      <c r="B30" s="591"/>
      <c r="C30" s="593" t="s">
        <v>307</v>
      </c>
      <c r="D30" s="619" t="s">
        <v>16</v>
      </c>
      <c r="E30" s="592"/>
      <c r="F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0">
        <v>1.9</v>
      </c>
    </row>
    <row r="31" spans="1:20" x14ac:dyDescent="0.25">
      <c r="A31" s="594">
        <v>7</v>
      </c>
      <c r="B31" s="591"/>
      <c r="C31" s="593" t="s">
        <v>258</v>
      </c>
      <c r="D31" s="619" t="s">
        <v>27</v>
      </c>
      <c r="E31" s="592"/>
      <c r="F31" s="591"/>
      <c r="G31" s="591"/>
      <c r="H31" s="591"/>
      <c r="I31" s="591"/>
      <c r="J31" s="591"/>
      <c r="K31" s="591"/>
      <c r="L31" s="591"/>
      <c r="M31" s="591"/>
      <c r="N31" s="591"/>
      <c r="O31" s="591"/>
      <c r="P31" s="591"/>
      <c r="Q31" s="591"/>
      <c r="R31" s="591"/>
      <c r="S31" s="591"/>
      <c r="T31" s="590">
        <v>9.27</v>
      </c>
    </row>
    <row r="32" spans="1:20" x14ac:dyDescent="0.25">
      <c r="A32" s="594">
        <v>8</v>
      </c>
      <c r="B32" s="591"/>
      <c r="C32" s="593" t="s">
        <v>583</v>
      </c>
      <c r="D32" s="619" t="s">
        <v>16</v>
      </c>
      <c r="E32" s="592"/>
      <c r="F32" s="591"/>
      <c r="G32" s="591"/>
      <c r="H32" s="591"/>
      <c r="I32" s="591"/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0">
        <v>3.3</v>
      </c>
    </row>
    <row r="33" spans="1:20" x14ac:dyDescent="0.25">
      <c r="A33" s="594">
        <v>9</v>
      </c>
      <c r="B33" s="591"/>
      <c r="C33" s="593" t="s">
        <v>239</v>
      </c>
      <c r="D33" s="619" t="s">
        <v>16</v>
      </c>
      <c r="E33" s="592"/>
      <c r="F33" s="591"/>
      <c r="G33" s="591"/>
      <c r="H33" s="591"/>
      <c r="I33" s="591"/>
      <c r="J33" s="591"/>
      <c r="K33" s="591"/>
      <c r="L33" s="591"/>
      <c r="M33" s="591"/>
      <c r="N33" s="591"/>
      <c r="O33" s="591"/>
      <c r="P33" s="591"/>
      <c r="Q33" s="591"/>
      <c r="R33" s="591"/>
      <c r="S33" s="591"/>
      <c r="T33" s="590">
        <v>0.71</v>
      </c>
    </row>
    <row r="34" spans="1:20" x14ac:dyDescent="0.25">
      <c r="A34" s="594">
        <v>10</v>
      </c>
      <c r="B34" s="591"/>
      <c r="C34" s="593" t="s">
        <v>436</v>
      </c>
      <c r="D34" s="619" t="s">
        <v>41</v>
      </c>
      <c r="E34" s="592"/>
      <c r="F34" s="591"/>
      <c r="G34" s="591"/>
      <c r="H34" s="591"/>
      <c r="I34" s="591"/>
      <c r="J34" s="591"/>
      <c r="K34" s="591"/>
      <c r="L34" s="591"/>
      <c r="M34" s="591"/>
      <c r="N34" s="591"/>
      <c r="O34" s="591"/>
      <c r="P34" s="591"/>
      <c r="Q34" s="591"/>
      <c r="R34" s="591"/>
      <c r="S34" s="591"/>
      <c r="T34" s="590">
        <v>474</v>
      </c>
    </row>
    <row r="35" spans="1:20" x14ac:dyDescent="0.25">
      <c r="A35" s="594">
        <v>11</v>
      </c>
      <c r="B35" s="591"/>
      <c r="C35" s="593" t="s">
        <v>434</v>
      </c>
      <c r="D35" s="619" t="s">
        <v>41</v>
      </c>
      <c r="E35" s="592"/>
      <c r="F35" s="591"/>
      <c r="G35" s="591"/>
      <c r="H35" s="591"/>
      <c r="I35" s="591"/>
      <c r="J35" s="591"/>
      <c r="K35" s="591"/>
      <c r="L35" s="591"/>
      <c r="M35" s="591"/>
      <c r="N35" s="591"/>
      <c r="O35" s="591"/>
      <c r="P35" s="591"/>
      <c r="Q35" s="591"/>
      <c r="R35" s="591"/>
      <c r="S35" s="591"/>
      <c r="T35" s="590">
        <v>761.37</v>
      </c>
    </row>
    <row r="36" spans="1:20" x14ac:dyDescent="0.25">
      <c r="A36" s="594">
        <v>12</v>
      </c>
      <c r="B36" s="591"/>
      <c r="C36" s="593" t="s">
        <v>435</v>
      </c>
      <c r="D36" s="619" t="s">
        <v>41</v>
      </c>
      <c r="E36" s="592"/>
      <c r="F36" s="591"/>
      <c r="G36" s="591"/>
      <c r="H36" s="591"/>
      <c r="I36" s="591"/>
      <c r="J36" s="591"/>
      <c r="K36" s="591"/>
      <c r="L36" s="591"/>
      <c r="M36" s="591"/>
      <c r="N36" s="591"/>
      <c r="O36" s="591"/>
      <c r="P36" s="591"/>
      <c r="Q36" s="591"/>
      <c r="R36" s="591"/>
      <c r="S36" s="591"/>
      <c r="T36" s="590">
        <v>222.32</v>
      </c>
    </row>
    <row r="37" spans="1:20" x14ac:dyDescent="0.25">
      <c r="A37" s="594">
        <v>13</v>
      </c>
      <c r="B37" s="591"/>
      <c r="C37" s="593" t="s">
        <v>306</v>
      </c>
      <c r="D37" s="619" t="s">
        <v>16</v>
      </c>
      <c r="E37" s="592"/>
      <c r="F37" s="591"/>
      <c r="G37" s="591"/>
      <c r="H37" s="591"/>
      <c r="I37" s="591"/>
      <c r="J37" s="591"/>
      <c r="K37" s="591"/>
      <c r="L37" s="591"/>
      <c r="M37" s="591"/>
      <c r="N37" s="591"/>
      <c r="O37" s="591"/>
      <c r="P37" s="591"/>
      <c r="Q37" s="591"/>
      <c r="R37" s="591"/>
      <c r="S37" s="591"/>
      <c r="T37" s="590">
        <v>8.91</v>
      </c>
    </row>
    <row r="38" spans="1:20" x14ac:dyDescent="0.25">
      <c r="A38" s="594">
        <v>14</v>
      </c>
      <c r="B38" s="591"/>
      <c r="C38" s="593" t="s">
        <v>300</v>
      </c>
      <c r="D38" s="619" t="s">
        <v>25</v>
      </c>
      <c r="E38" s="592"/>
      <c r="F38" s="591"/>
      <c r="G38" s="591"/>
      <c r="H38" s="591"/>
      <c r="I38" s="591"/>
      <c r="J38" s="591"/>
      <c r="K38" s="591"/>
      <c r="L38" s="591"/>
      <c r="M38" s="591"/>
      <c r="N38" s="591"/>
      <c r="O38" s="591"/>
      <c r="P38" s="591"/>
      <c r="Q38" s="591"/>
      <c r="R38" s="591"/>
      <c r="S38" s="591"/>
      <c r="T38" s="590">
        <v>13</v>
      </c>
    </row>
    <row r="39" spans="1:20" x14ac:dyDescent="0.25">
      <c r="A39" s="594">
        <v>15</v>
      </c>
      <c r="B39" s="591"/>
      <c r="C39" s="593" t="s">
        <v>432</v>
      </c>
      <c r="D39" s="619" t="s">
        <v>36</v>
      </c>
      <c r="E39" s="592"/>
      <c r="F39" s="591"/>
      <c r="G39" s="591"/>
      <c r="H39" s="591"/>
      <c r="I39" s="591"/>
      <c r="J39" s="591"/>
      <c r="K39" s="591"/>
      <c r="L39" s="591"/>
      <c r="M39" s="591"/>
      <c r="N39" s="591"/>
      <c r="O39" s="591"/>
      <c r="P39" s="591"/>
      <c r="Q39" s="591"/>
      <c r="R39" s="591"/>
      <c r="S39" s="591"/>
      <c r="T39" s="590">
        <v>1</v>
      </c>
    </row>
    <row r="40" spans="1:20" x14ac:dyDescent="0.25">
      <c r="A40" s="594">
        <v>16</v>
      </c>
      <c r="B40" s="591"/>
      <c r="C40" s="593" t="s">
        <v>301</v>
      </c>
      <c r="D40" s="619" t="s">
        <v>27</v>
      </c>
      <c r="E40" s="592"/>
      <c r="F40" s="591"/>
      <c r="G40" s="591"/>
      <c r="H40" s="591"/>
      <c r="I40" s="591"/>
      <c r="J40" s="591"/>
      <c r="K40" s="591"/>
      <c r="L40" s="591"/>
      <c r="M40" s="591"/>
      <c r="N40" s="591"/>
      <c r="O40" s="591"/>
      <c r="P40" s="591"/>
      <c r="Q40" s="591"/>
      <c r="R40" s="591"/>
      <c r="S40" s="591"/>
      <c r="T40" s="590">
        <v>36</v>
      </c>
    </row>
    <row r="41" spans="1:20" x14ac:dyDescent="0.25">
      <c r="A41" s="594">
        <v>17</v>
      </c>
      <c r="B41" s="591"/>
      <c r="C41" s="593" t="s">
        <v>299</v>
      </c>
      <c r="D41" s="619" t="s">
        <v>27</v>
      </c>
      <c r="E41" s="592"/>
      <c r="F41" s="591"/>
      <c r="G41" s="591"/>
      <c r="H41" s="591"/>
      <c r="I41" s="591"/>
      <c r="J41" s="591"/>
      <c r="K41" s="591"/>
      <c r="L41" s="591"/>
      <c r="M41" s="591"/>
      <c r="N41" s="591"/>
      <c r="O41" s="591"/>
      <c r="P41" s="591"/>
      <c r="Q41" s="591"/>
      <c r="R41" s="591"/>
      <c r="S41" s="591"/>
      <c r="T41" s="590">
        <v>70</v>
      </c>
    </row>
    <row r="42" spans="1:20" x14ac:dyDescent="0.25">
      <c r="A42" s="594">
        <v>18</v>
      </c>
      <c r="B42" s="591"/>
      <c r="C42" s="593" t="s">
        <v>302</v>
      </c>
      <c r="D42" s="619" t="s">
        <v>27</v>
      </c>
      <c r="E42" s="592"/>
      <c r="F42" s="591"/>
      <c r="G42" s="591"/>
      <c r="H42" s="591"/>
      <c r="I42" s="591"/>
      <c r="J42" s="591"/>
      <c r="K42" s="591"/>
      <c r="L42" s="591"/>
      <c r="M42" s="591"/>
      <c r="N42" s="591"/>
      <c r="O42" s="591"/>
      <c r="P42" s="591"/>
      <c r="Q42" s="591"/>
      <c r="R42" s="591"/>
      <c r="S42" s="591"/>
      <c r="T42" s="590">
        <v>36</v>
      </c>
    </row>
    <row r="43" spans="1:20" x14ac:dyDescent="0.25">
      <c r="A43" s="594">
        <v>19</v>
      </c>
      <c r="B43" s="591"/>
      <c r="C43" s="593" t="s">
        <v>312</v>
      </c>
      <c r="D43" s="619" t="s">
        <v>25</v>
      </c>
      <c r="E43" s="592"/>
      <c r="F43" s="591"/>
      <c r="G43" s="591"/>
      <c r="H43" s="591"/>
      <c r="I43" s="591"/>
      <c r="J43" s="591"/>
      <c r="K43" s="591"/>
      <c r="L43" s="591"/>
      <c r="M43" s="591"/>
      <c r="N43" s="591"/>
      <c r="O43" s="591"/>
      <c r="P43" s="591"/>
      <c r="Q43" s="591"/>
      <c r="R43" s="591"/>
      <c r="S43" s="591"/>
      <c r="T43" s="590">
        <v>10.6</v>
      </c>
    </row>
    <row r="44" spans="1:20" x14ac:dyDescent="0.25">
      <c r="A44" s="594">
        <v>20</v>
      </c>
      <c r="B44" s="591"/>
      <c r="C44" s="593" t="s">
        <v>284</v>
      </c>
      <c r="D44" s="619" t="s">
        <v>36</v>
      </c>
      <c r="E44" s="592"/>
      <c r="F44" s="591"/>
      <c r="G44" s="591"/>
      <c r="H44" s="591"/>
      <c r="I44" s="591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0">
        <v>5</v>
      </c>
    </row>
    <row r="45" spans="1:20" x14ac:dyDescent="0.25">
      <c r="A45" s="594">
        <v>21</v>
      </c>
      <c r="B45" s="591"/>
      <c r="C45" s="593" t="s">
        <v>309</v>
      </c>
      <c r="D45" s="619" t="s">
        <v>36</v>
      </c>
      <c r="E45" s="592"/>
      <c r="F45" s="591"/>
      <c r="G45" s="591"/>
      <c r="H45" s="591"/>
      <c r="I45" s="591"/>
      <c r="J45" s="591"/>
      <c r="K45" s="591"/>
      <c r="L45" s="591"/>
      <c r="M45" s="591"/>
      <c r="N45" s="591"/>
      <c r="O45" s="591"/>
      <c r="P45" s="591"/>
      <c r="Q45" s="591"/>
      <c r="R45" s="591"/>
      <c r="S45" s="591"/>
      <c r="T45" s="590">
        <v>2</v>
      </c>
    </row>
    <row r="46" spans="1:20" x14ac:dyDescent="0.25">
      <c r="A46" s="594">
        <v>22</v>
      </c>
      <c r="B46" s="591"/>
      <c r="C46" s="593" t="s">
        <v>285</v>
      </c>
      <c r="D46" s="619" t="s">
        <v>36</v>
      </c>
      <c r="E46" s="592"/>
      <c r="F46" s="591"/>
      <c r="G46" s="591"/>
      <c r="H46" s="591"/>
      <c r="I46" s="591"/>
      <c r="J46" s="591"/>
      <c r="K46" s="591"/>
      <c r="L46" s="591"/>
      <c r="M46" s="591"/>
      <c r="N46" s="591"/>
      <c r="O46" s="591"/>
      <c r="P46" s="591"/>
      <c r="Q46" s="591"/>
      <c r="R46" s="591"/>
      <c r="S46" s="591"/>
      <c r="T46" s="590">
        <v>2</v>
      </c>
    </row>
    <row r="47" spans="1:20" x14ac:dyDescent="0.25">
      <c r="A47" s="594">
        <v>23</v>
      </c>
      <c r="B47" s="591"/>
      <c r="C47" s="593" t="s">
        <v>286</v>
      </c>
      <c r="D47" s="619" t="s">
        <v>36</v>
      </c>
      <c r="E47" s="592"/>
      <c r="F47" s="591"/>
      <c r="G47" s="591"/>
      <c r="H47" s="591"/>
      <c r="I47" s="591"/>
      <c r="J47" s="591"/>
      <c r="K47" s="591"/>
      <c r="L47" s="591"/>
      <c r="M47" s="591"/>
      <c r="N47" s="591"/>
      <c r="O47" s="591"/>
      <c r="P47" s="591"/>
      <c r="Q47" s="591"/>
      <c r="R47" s="591"/>
      <c r="S47" s="591"/>
      <c r="T47" s="590">
        <v>1</v>
      </c>
    </row>
    <row r="48" spans="1:20" x14ac:dyDescent="0.25">
      <c r="A48" s="594">
        <v>24</v>
      </c>
      <c r="B48" s="591"/>
      <c r="C48" s="593" t="s">
        <v>287</v>
      </c>
      <c r="D48" s="619" t="s">
        <v>36</v>
      </c>
      <c r="E48" s="592"/>
      <c r="F48" s="591"/>
      <c r="G48" s="591"/>
      <c r="H48" s="591"/>
      <c r="I48" s="591"/>
      <c r="J48" s="591"/>
      <c r="K48" s="591"/>
      <c r="L48" s="591"/>
      <c r="M48" s="591"/>
      <c r="N48" s="591"/>
      <c r="O48" s="591"/>
      <c r="P48" s="591"/>
      <c r="Q48" s="591"/>
      <c r="R48" s="591"/>
      <c r="S48" s="591"/>
      <c r="T48" s="590">
        <v>1</v>
      </c>
    </row>
    <row r="49" spans="1:20" x14ac:dyDescent="0.25">
      <c r="A49" s="594">
        <v>25</v>
      </c>
      <c r="B49" s="591"/>
      <c r="C49" s="593" t="s">
        <v>310</v>
      </c>
      <c r="D49" s="619" t="s">
        <v>36</v>
      </c>
      <c r="E49" s="592"/>
      <c r="F49" s="591"/>
      <c r="G49" s="591"/>
      <c r="H49" s="591"/>
      <c r="I49" s="591"/>
      <c r="J49" s="591"/>
      <c r="K49" s="591"/>
      <c r="L49" s="591"/>
      <c r="M49" s="591"/>
      <c r="N49" s="591"/>
      <c r="O49" s="591"/>
      <c r="P49" s="591"/>
      <c r="Q49" s="591"/>
      <c r="R49" s="591"/>
      <c r="S49" s="591"/>
      <c r="T49" s="590">
        <v>1</v>
      </c>
    </row>
    <row r="50" spans="1:20" x14ac:dyDescent="0.25">
      <c r="A50" s="594">
        <v>26</v>
      </c>
      <c r="B50" s="591"/>
      <c r="C50" s="593" t="s">
        <v>311</v>
      </c>
      <c r="D50" s="619" t="s">
        <v>36</v>
      </c>
      <c r="E50" s="592"/>
      <c r="F50" s="591"/>
      <c r="G50" s="591"/>
      <c r="H50" s="591"/>
      <c r="I50" s="591"/>
      <c r="J50" s="591"/>
      <c r="K50" s="591"/>
      <c r="L50" s="591"/>
      <c r="M50" s="591"/>
      <c r="N50" s="591"/>
      <c r="O50" s="591"/>
      <c r="P50" s="591"/>
      <c r="Q50" s="591"/>
      <c r="R50" s="591"/>
      <c r="S50" s="591"/>
      <c r="T50" s="590">
        <v>2</v>
      </c>
    </row>
    <row r="51" spans="1:20" x14ac:dyDescent="0.25">
      <c r="A51" s="594">
        <v>27</v>
      </c>
      <c r="B51" s="591"/>
      <c r="C51" s="593" t="s">
        <v>433</v>
      </c>
      <c r="D51" s="619" t="s">
        <v>36</v>
      </c>
      <c r="E51" s="592"/>
      <c r="F51" s="591"/>
      <c r="G51" s="591"/>
      <c r="H51" s="591"/>
      <c r="I51" s="591"/>
      <c r="J51" s="591"/>
      <c r="K51" s="591"/>
      <c r="L51" s="591"/>
      <c r="M51" s="591"/>
      <c r="N51" s="591"/>
      <c r="O51" s="591"/>
      <c r="P51" s="591"/>
      <c r="Q51" s="591"/>
      <c r="R51" s="591"/>
      <c r="S51" s="591"/>
      <c r="T51" s="590">
        <v>2</v>
      </c>
    </row>
    <row r="52" spans="1:20" x14ac:dyDescent="0.25">
      <c r="A52" s="594">
        <v>28</v>
      </c>
      <c r="B52" s="591"/>
      <c r="C52" s="593" t="s">
        <v>101</v>
      </c>
      <c r="D52" s="619" t="s">
        <v>102</v>
      </c>
      <c r="E52" s="592"/>
      <c r="F52" s="591"/>
      <c r="G52" s="591"/>
      <c r="H52" s="591"/>
      <c r="I52" s="591"/>
      <c r="J52" s="591"/>
      <c r="K52" s="591"/>
      <c r="L52" s="591"/>
      <c r="M52" s="591"/>
      <c r="N52" s="591"/>
      <c r="O52" s="591"/>
      <c r="P52" s="591"/>
      <c r="Q52" s="591"/>
      <c r="R52" s="591"/>
      <c r="S52" s="591"/>
      <c r="T52" s="590">
        <v>1</v>
      </c>
    </row>
    <row r="53" spans="1:20" x14ac:dyDescent="0.25">
      <c r="A53" s="594">
        <v>29</v>
      </c>
      <c r="B53" s="591"/>
      <c r="C53" s="593" t="s">
        <v>94</v>
      </c>
      <c r="D53" s="619" t="s">
        <v>36</v>
      </c>
      <c r="E53" s="592"/>
      <c r="F53" s="591"/>
      <c r="G53" s="591"/>
      <c r="H53" s="591"/>
      <c r="I53" s="591"/>
      <c r="J53" s="591"/>
      <c r="K53" s="591"/>
      <c r="L53" s="591"/>
      <c r="M53" s="591"/>
      <c r="N53" s="591"/>
      <c r="O53" s="591"/>
      <c r="P53" s="591"/>
      <c r="Q53" s="591"/>
      <c r="R53" s="591"/>
      <c r="S53" s="591"/>
      <c r="T53" s="590">
        <v>6</v>
      </c>
    </row>
    <row r="54" spans="1:20" x14ac:dyDescent="0.25">
      <c r="A54" s="594">
        <v>30</v>
      </c>
      <c r="B54" s="591"/>
      <c r="C54" s="593" t="s">
        <v>87</v>
      </c>
      <c r="D54" s="619" t="s">
        <v>36</v>
      </c>
      <c r="E54" s="592"/>
      <c r="F54" s="591"/>
      <c r="G54" s="591"/>
      <c r="H54" s="591"/>
      <c r="I54" s="591"/>
      <c r="J54" s="591"/>
      <c r="K54" s="591"/>
      <c r="L54" s="591"/>
      <c r="M54" s="591"/>
      <c r="N54" s="591"/>
      <c r="O54" s="591"/>
      <c r="P54" s="591"/>
      <c r="Q54" s="591"/>
      <c r="R54" s="591"/>
      <c r="S54" s="591"/>
      <c r="T54" s="590">
        <v>2</v>
      </c>
    </row>
    <row r="55" spans="1:20" x14ac:dyDescent="0.25">
      <c r="A55" s="594">
        <v>31</v>
      </c>
      <c r="B55" s="591"/>
      <c r="C55" s="593" t="s">
        <v>95</v>
      </c>
      <c r="D55" s="619" t="s">
        <v>36</v>
      </c>
      <c r="E55" s="592"/>
      <c r="F55" s="591"/>
      <c r="G55" s="591"/>
      <c r="H55" s="591"/>
      <c r="I55" s="591"/>
      <c r="J55" s="591"/>
      <c r="K55" s="591"/>
      <c r="L55" s="591"/>
      <c r="M55" s="591"/>
      <c r="N55" s="591"/>
      <c r="O55" s="591"/>
      <c r="P55" s="591"/>
      <c r="Q55" s="591"/>
      <c r="R55" s="591"/>
      <c r="S55" s="591"/>
      <c r="T55" s="590">
        <v>6</v>
      </c>
    </row>
    <row r="56" spans="1:20" x14ac:dyDescent="0.25">
      <c r="A56" s="594">
        <v>32</v>
      </c>
      <c r="B56" s="591"/>
      <c r="C56" s="593" t="s">
        <v>88</v>
      </c>
      <c r="D56" s="619" t="s">
        <v>36</v>
      </c>
      <c r="E56" s="592"/>
      <c r="F56" s="591"/>
      <c r="G56" s="591"/>
      <c r="H56" s="591"/>
      <c r="I56" s="591"/>
      <c r="J56" s="591"/>
      <c r="K56" s="591"/>
      <c r="L56" s="591"/>
      <c r="M56" s="591"/>
      <c r="N56" s="591"/>
      <c r="O56" s="591"/>
      <c r="P56" s="591"/>
      <c r="Q56" s="591"/>
      <c r="R56" s="591"/>
      <c r="S56" s="591"/>
      <c r="T56" s="590">
        <v>2</v>
      </c>
    </row>
    <row r="57" spans="1:20" x14ac:dyDescent="0.25">
      <c r="A57" s="594">
        <v>33</v>
      </c>
      <c r="B57" s="591"/>
      <c r="C57" s="593" t="s">
        <v>96</v>
      </c>
      <c r="D57" s="619" t="s">
        <v>36</v>
      </c>
      <c r="E57" s="592"/>
      <c r="F57" s="591"/>
      <c r="G57" s="591"/>
      <c r="H57" s="591"/>
      <c r="I57" s="591"/>
      <c r="J57" s="591"/>
      <c r="K57" s="591"/>
      <c r="L57" s="591"/>
      <c r="M57" s="591"/>
      <c r="N57" s="591"/>
      <c r="O57" s="591"/>
      <c r="P57" s="591"/>
      <c r="Q57" s="591"/>
      <c r="R57" s="591"/>
      <c r="S57" s="591"/>
      <c r="T57" s="590">
        <v>3</v>
      </c>
    </row>
    <row r="58" spans="1:20" x14ac:dyDescent="0.25">
      <c r="A58" s="594">
        <v>34</v>
      </c>
      <c r="B58" s="591"/>
      <c r="C58" s="593" t="s">
        <v>79</v>
      </c>
      <c r="D58" s="619" t="s">
        <v>36</v>
      </c>
      <c r="E58" s="592"/>
      <c r="F58" s="591"/>
      <c r="G58" s="591"/>
      <c r="H58" s="591"/>
      <c r="I58" s="591"/>
      <c r="J58" s="591"/>
      <c r="K58" s="591"/>
      <c r="L58" s="591"/>
      <c r="M58" s="591"/>
      <c r="N58" s="591"/>
      <c r="O58" s="591"/>
      <c r="P58" s="591"/>
      <c r="Q58" s="591"/>
      <c r="R58" s="591"/>
      <c r="S58" s="591"/>
      <c r="T58" s="590">
        <v>2</v>
      </c>
    </row>
    <row r="59" spans="1:20" x14ac:dyDescent="0.25">
      <c r="A59" s="594">
        <v>35</v>
      </c>
      <c r="B59" s="591"/>
      <c r="C59" s="593" t="s">
        <v>582</v>
      </c>
      <c r="D59" s="619" t="s">
        <v>36</v>
      </c>
      <c r="E59" s="592"/>
      <c r="F59" s="591"/>
      <c r="G59" s="591"/>
      <c r="H59" s="591"/>
      <c r="I59" s="591"/>
      <c r="J59" s="591"/>
      <c r="K59" s="591"/>
      <c r="L59" s="591"/>
      <c r="M59" s="591"/>
      <c r="N59" s="591"/>
      <c r="O59" s="591"/>
      <c r="P59" s="591"/>
      <c r="Q59" s="591"/>
      <c r="R59" s="591"/>
      <c r="S59" s="591"/>
      <c r="T59" s="590">
        <v>5</v>
      </c>
    </row>
    <row r="60" spans="1:20" x14ac:dyDescent="0.25">
      <c r="A60" s="594">
        <v>36</v>
      </c>
      <c r="B60" s="591"/>
      <c r="C60" s="593" t="s">
        <v>581</v>
      </c>
      <c r="D60" s="619" t="s">
        <v>36</v>
      </c>
      <c r="E60" s="592"/>
      <c r="F60" s="591"/>
      <c r="G60" s="591"/>
      <c r="H60" s="591"/>
      <c r="I60" s="591"/>
      <c r="J60" s="591"/>
      <c r="K60" s="591"/>
      <c r="L60" s="591"/>
      <c r="M60" s="591"/>
      <c r="N60" s="591"/>
      <c r="O60" s="591"/>
      <c r="P60" s="591"/>
      <c r="Q60" s="591"/>
      <c r="R60" s="591"/>
      <c r="S60" s="591"/>
      <c r="T60" s="590">
        <v>1</v>
      </c>
    </row>
    <row r="61" spans="1:20" x14ac:dyDescent="0.25">
      <c r="A61" s="594">
        <v>37</v>
      </c>
      <c r="B61" s="591"/>
      <c r="C61" s="593" t="s">
        <v>224</v>
      </c>
      <c r="D61" s="619" t="s">
        <v>36</v>
      </c>
      <c r="E61" s="592"/>
      <c r="F61" s="591"/>
      <c r="G61" s="591"/>
      <c r="H61" s="591"/>
      <c r="I61" s="591"/>
      <c r="J61" s="591"/>
      <c r="K61" s="591"/>
      <c r="L61" s="591"/>
      <c r="M61" s="591"/>
      <c r="N61" s="591"/>
      <c r="O61" s="591"/>
      <c r="P61" s="591"/>
      <c r="Q61" s="591"/>
      <c r="R61" s="591"/>
      <c r="S61" s="591"/>
      <c r="T61" s="590">
        <v>1</v>
      </c>
    </row>
    <row r="62" spans="1:20" x14ac:dyDescent="0.25">
      <c r="A62" s="594">
        <v>38</v>
      </c>
      <c r="B62" s="591"/>
      <c r="C62" s="593" t="s">
        <v>172</v>
      </c>
      <c r="D62" s="619" t="s">
        <v>36</v>
      </c>
      <c r="E62" s="592"/>
      <c r="F62" s="591"/>
      <c r="G62" s="591"/>
      <c r="H62" s="591"/>
      <c r="I62" s="591"/>
      <c r="J62" s="591"/>
      <c r="K62" s="591"/>
      <c r="L62" s="591"/>
      <c r="M62" s="591"/>
      <c r="N62" s="591"/>
      <c r="O62" s="591"/>
      <c r="P62" s="591"/>
      <c r="Q62" s="591"/>
      <c r="R62" s="591"/>
      <c r="S62" s="591"/>
      <c r="T62" s="590">
        <v>2</v>
      </c>
    </row>
    <row r="63" spans="1:20" x14ac:dyDescent="0.25">
      <c r="A63" s="594">
        <v>39</v>
      </c>
      <c r="B63" s="591"/>
      <c r="C63" s="593" t="s">
        <v>173</v>
      </c>
      <c r="D63" s="619" t="s">
        <v>36</v>
      </c>
      <c r="E63" s="592"/>
      <c r="F63" s="591"/>
      <c r="G63" s="591"/>
      <c r="H63" s="591"/>
      <c r="I63" s="591"/>
      <c r="J63" s="591"/>
      <c r="K63" s="591"/>
      <c r="L63" s="591"/>
      <c r="M63" s="591"/>
      <c r="N63" s="591"/>
      <c r="O63" s="591"/>
      <c r="P63" s="591"/>
      <c r="Q63" s="591"/>
      <c r="R63" s="591"/>
      <c r="S63" s="591"/>
      <c r="T63" s="590">
        <v>2</v>
      </c>
    </row>
    <row r="64" spans="1:20" x14ac:dyDescent="0.25">
      <c r="A64" s="594">
        <v>40</v>
      </c>
      <c r="B64" s="591"/>
      <c r="C64" s="593" t="s">
        <v>176</v>
      </c>
      <c r="D64" s="619" t="s">
        <v>36</v>
      </c>
      <c r="E64" s="592"/>
      <c r="F64" s="591"/>
      <c r="G64" s="591"/>
      <c r="H64" s="591"/>
      <c r="I64" s="591"/>
      <c r="J64" s="591"/>
      <c r="K64" s="591"/>
      <c r="L64" s="591"/>
      <c r="M64" s="591"/>
      <c r="N64" s="591"/>
      <c r="O64" s="591"/>
      <c r="P64" s="591"/>
      <c r="Q64" s="591"/>
      <c r="R64" s="591"/>
      <c r="S64" s="591"/>
      <c r="T64" s="590">
        <v>3</v>
      </c>
    </row>
    <row r="65" spans="1:20" x14ac:dyDescent="0.25">
      <c r="A65" s="594">
        <v>41</v>
      </c>
      <c r="B65" s="591"/>
      <c r="C65" s="593" t="s">
        <v>177</v>
      </c>
      <c r="D65" s="619" t="s">
        <v>36</v>
      </c>
      <c r="E65" s="592"/>
      <c r="F65" s="591"/>
      <c r="G65" s="591"/>
      <c r="H65" s="591"/>
      <c r="I65" s="591"/>
      <c r="J65" s="591"/>
      <c r="K65" s="591"/>
      <c r="L65" s="591"/>
      <c r="M65" s="591"/>
      <c r="N65" s="591"/>
      <c r="O65" s="591"/>
      <c r="P65" s="591"/>
      <c r="Q65" s="591"/>
      <c r="R65" s="591"/>
      <c r="S65" s="591"/>
      <c r="T65" s="590">
        <v>3</v>
      </c>
    </row>
    <row r="66" spans="1:20" ht="25.5" x14ac:dyDescent="0.25">
      <c r="A66" s="594">
        <v>42</v>
      </c>
      <c r="B66" s="591"/>
      <c r="C66" s="593" t="s">
        <v>223</v>
      </c>
      <c r="D66" s="619" t="s">
        <v>36</v>
      </c>
      <c r="E66" s="592"/>
      <c r="F66" s="591"/>
      <c r="G66" s="591"/>
      <c r="H66" s="591"/>
      <c r="I66" s="591"/>
      <c r="J66" s="591"/>
      <c r="K66" s="591"/>
      <c r="L66" s="591"/>
      <c r="M66" s="591"/>
      <c r="N66" s="591"/>
      <c r="O66" s="591"/>
      <c r="P66" s="591"/>
      <c r="Q66" s="591"/>
      <c r="R66" s="591"/>
      <c r="S66" s="591"/>
      <c r="T66" s="590">
        <v>1</v>
      </c>
    </row>
    <row r="67" spans="1:20" x14ac:dyDescent="0.25">
      <c r="C67" s="589"/>
      <c r="D67" s="588"/>
    </row>
    <row r="68" spans="1:20" x14ac:dyDescent="0.25">
      <c r="C68" s="589"/>
      <c r="D68" s="588"/>
    </row>
    <row r="69" spans="1:20" ht="16.5" thickBot="1" x14ac:dyDescent="0.3">
      <c r="A69" s="618" t="s">
        <v>328</v>
      </c>
      <c r="C69" s="617"/>
      <c r="D69" s="587"/>
      <c r="E69" s="586"/>
      <c r="T69" s="616" t="s">
        <v>494</v>
      </c>
    </row>
    <row r="70" spans="1:20" s="583" customFormat="1" ht="15.75" x14ac:dyDescent="0.25">
      <c r="C70" s="618"/>
      <c r="D70" s="618"/>
      <c r="E70" s="618"/>
      <c r="F70" s="585"/>
      <c r="G70" s="584"/>
      <c r="H70" s="584"/>
      <c r="I70" s="584"/>
      <c r="J70" s="584"/>
      <c r="K70" s="584"/>
      <c r="L70" s="584"/>
      <c r="M70" s="584"/>
      <c r="N70" s="584"/>
      <c r="O70" s="584"/>
      <c r="P70" s="584"/>
      <c r="Q70" s="584"/>
      <c r="R70" s="584"/>
      <c r="T70" s="616"/>
    </row>
    <row r="71" spans="1:20" s="582" customFormat="1" ht="16.5" thickBot="1" x14ac:dyDescent="0.3">
      <c r="A71" s="618" t="s">
        <v>329</v>
      </c>
      <c r="B71" s="583"/>
      <c r="C71" s="617"/>
      <c r="D71" s="617"/>
      <c r="E71" s="617"/>
      <c r="F71" s="584"/>
      <c r="G71" s="584"/>
      <c r="H71" s="584"/>
      <c r="I71" s="584"/>
      <c r="J71" s="584"/>
      <c r="K71" s="584"/>
      <c r="L71" s="584"/>
      <c r="M71" s="584"/>
      <c r="N71" s="584"/>
      <c r="O71" s="584"/>
      <c r="P71" s="584"/>
      <c r="Q71" s="584"/>
      <c r="R71" s="584"/>
      <c r="S71" s="583"/>
      <c r="T71" s="616" t="s">
        <v>493</v>
      </c>
    </row>
    <row r="72" spans="1:20" s="582" customFormat="1" ht="15.75" x14ac:dyDescent="0.25">
      <c r="A72" s="583"/>
      <c r="B72" s="583"/>
      <c r="C72" s="618"/>
      <c r="D72" s="618"/>
      <c r="E72" s="618"/>
      <c r="F72" s="585"/>
      <c r="G72" s="584"/>
      <c r="H72" s="584"/>
      <c r="I72" s="584"/>
      <c r="J72" s="584"/>
      <c r="K72" s="584"/>
      <c r="L72" s="584"/>
      <c r="M72" s="584"/>
      <c r="N72" s="584"/>
      <c r="O72" s="584"/>
      <c r="P72" s="584"/>
      <c r="Q72" s="584"/>
      <c r="R72" s="584"/>
      <c r="S72" s="583"/>
      <c r="T72" s="618"/>
    </row>
    <row r="73" spans="1:20" ht="16.5" thickBot="1" x14ac:dyDescent="0.3">
      <c r="A73" s="618" t="s">
        <v>492</v>
      </c>
      <c r="C73" s="617"/>
      <c r="D73" s="617"/>
      <c r="E73" s="617"/>
      <c r="T73" s="616" t="s">
        <v>491</v>
      </c>
    </row>
  </sheetData>
  <mergeCells count="26">
    <mergeCell ref="A19:T19"/>
    <mergeCell ref="A21:T21"/>
    <mergeCell ref="A24:T24"/>
    <mergeCell ref="N15:N18"/>
    <mergeCell ref="O15:O18"/>
    <mergeCell ref="P15:P18"/>
    <mergeCell ref="Q15:Q18"/>
    <mergeCell ref="R15:R18"/>
    <mergeCell ref="S15:S18"/>
    <mergeCell ref="H15:H18"/>
    <mergeCell ref="I15:I18"/>
    <mergeCell ref="J15:J18"/>
    <mergeCell ref="K15:K18"/>
    <mergeCell ref="L15:L18"/>
    <mergeCell ref="M15:M18"/>
    <mergeCell ref="A11:T12"/>
    <mergeCell ref="A13:T13"/>
    <mergeCell ref="C14:T14"/>
    <mergeCell ref="A15:A18"/>
    <mergeCell ref="B15:B18"/>
    <mergeCell ref="C15:C18"/>
    <mergeCell ref="D15:D18"/>
    <mergeCell ref="E15:E18"/>
    <mergeCell ref="F15:F18"/>
    <mergeCell ref="G15:G18"/>
    <mergeCell ref="T15:T17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71" fitToHeight="2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ФКП_НВ </vt:lpstr>
      <vt:lpstr>ФКП_НКхб </vt:lpstr>
      <vt:lpstr>ФКП_НЛК </vt:lpstr>
      <vt:lpstr>ВОР_НКхб</vt:lpstr>
      <vt:lpstr>ЛЗК НК</vt:lpstr>
      <vt:lpstr>ВОР_НЛК</vt:lpstr>
      <vt:lpstr>ЛЗК НЛК</vt:lpstr>
      <vt:lpstr>ВОР_НВ</vt:lpstr>
      <vt:lpstr>ЛЗК НВ</vt:lpstr>
      <vt:lpstr>НВ</vt:lpstr>
      <vt:lpstr>НЛК</vt:lpstr>
      <vt:lpstr>НКхб</vt:lpstr>
      <vt:lpstr>'ЛЗК НВ'!Заголовки_для_печати</vt:lpstr>
      <vt:lpstr>'ЛЗК НК'!Заголовки_для_печати</vt:lpstr>
      <vt:lpstr>'ЛЗК НЛК'!Заголовки_для_печати</vt:lpstr>
      <vt:lpstr>ВОР_НКхб!Область_печати</vt:lpstr>
      <vt:lpstr>'ЛЗК НВ'!Область_печати</vt:lpstr>
      <vt:lpstr>'ЛЗК НК'!Область_печати</vt:lpstr>
      <vt:lpstr>'ЛЗК НЛК'!Область_печати</vt:lpstr>
      <vt:lpstr>НВ!Область_печати</vt:lpstr>
      <vt:lpstr>'ФКП_НКхб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Сергиенко Елена Анатольевна</dc:creator>
  <cp:lastModifiedBy>Сергиенко Елена Анатольевна</cp:lastModifiedBy>
  <cp:lastPrinted>2024-10-28T11:28:04Z</cp:lastPrinted>
  <dcterms:created xsi:type="dcterms:W3CDTF">2024-03-20T11:35:22Z</dcterms:created>
  <dcterms:modified xsi:type="dcterms:W3CDTF">2024-10-29T05:56:24Z</dcterms:modified>
</cp:coreProperties>
</file>